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Rates\"/>
    </mc:Choice>
  </mc:AlternateContent>
  <workbookProtection workbookAlgorithmName="SHA-512" workbookHashValue="sj+CRVPqgWwRN05TKhMb8s+s34JkNkQw2P5Ipt3wICwIpOc0c1xJJienkH4UjNVZJkcMTavjquF15Mvb5V8ssg==" workbookSaltValue="SQ+E2V0MCNU6o2DudNcDNw==" workbookSpinCount="100000" lockStructure="1"/>
  <bookViews>
    <workbookView xWindow="120" yWindow="45" windowWidth="19035" windowHeight="11640"/>
  </bookViews>
  <sheets>
    <sheet name="Residential" sheetId="9" r:id="rId1"/>
    <sheet name="Commercial" sheetId="10" r:id="rId2"/>
    <sheet name="R-Rates" sheetId="3" state="hidden" r:id="rId3"/>
    <sheet name="R-Tables" sheetId="4" state="hidden" r:id="rId4"/>
    <sheet name="C-Tables" sheetId="12" state="hidden" r:id="rId5"/>
  </sheets>
  <definedNames>
    <definedName name="_xlnm._FilterDatabase" localSheetId="4" hidden="1">'C-Tables'!#REF!</definedName>
    <definedName name="_xlnm._FilterDatabase" localSheetId="3" hidden="1">'R-Tables'!#REF!</definedName>
    <definedName name="CTransactions">'C-Tables'!$I$2:$I$4</definedName>
    <definedName name="Owners">'R-Tables'!$H$8:$H$10</definedName>
    <definedName name="_xlnm.Print_Area" localSheetId="1">Commercial!$A$1:$F$26</definedName>
    <definedName name="_xlnm.Print_Area" localSheetId="0">Residential!$A$1:$F$26</definedName>
    <definedName name="_xlnm.Print_Area" localSheetId="2">'R-Rates'!$B$1:$C$25</definedName>
    <definedName name="Transactions">'R-Tables'!$H$2:$H$5</definedName>
  </definedNames>
  <calcPr calcId="162913"/>
</workbook>
</file>

<file path=xl/calcChain.xml><?xml version="1.0" encoding="utf-8"?>
<calcChain xmlns="http://schemas.openxmlformats.org/spreadsheetml/2006/main">
  <c r="E18" i="12" l="1"/>
  <c r="E8" i="10" l="1"/>
  <c r="B10" i="10" s="1"/>
  <c r="E5" i="12"/>
  <c r="D5" i="12"/>
  <c r="B15" i="10" l="1"/>
  <c r="B6" i="10"/>
  <c r="E17" i="12"/>
  <c r="B17" i="12"/>
  <c r="D6" i="12"/>
  <c r="E19" i="12" l="1"/>
  <c r="D15" i="12"/>
  <c r="D8" i="12"/>
  <c r="D10" i="12"/>
  <c r="D12" i="12"/>
  <c r="D14" i="12"/>
  <c r="E6" i="12"/>
  <c r="D16" i="12"/>
  <c r="D17" i="12"/>
  <c r="D7" i="12"/>
  <c r="D9" i="12"/>
  <c r="D11" i="12"/>
  <c r="D13" i="12"/>
  <c r="D18" i="12" l="1"/>
  <c r="D19" i="12" s="1"/>
  <c r="D20" i="12"/>
  <c r="E16" i="12"/>
  <c r="E14" i="12"/>
  <c r="E12" i="12"/>
  <c r="E10" i="12"/>
  <c r="E8" i="12"/>
  <c r="E15" i="12"/>
  <c r="E13" i="12"/>
  <c r="E11" i="12"/>
  <c r="E9" i="12"/>
  <c r="E7" i="12"/>
  <c r="D25" i="12" l="1"/>
  <c r="D15" i="10" s="1"/>
  <c r="D26" i="12"/>
  <c r="E20" i="12"/>
  <c r="E13" i="10"/>
  <c r="C72" i="4"/>
  <c r="C70" i="4"/>
  <c r="B70" i="4"/>
  <c r="C69" i="4"/>
  <c r="B69" i="4"/>
  <c r="C68" i="4"/>
  <c r="B68" i="4"/>
  <c r="C67" i="4"/>
  <c r="B67" i="4"/>
  <c r="C66" i="4"/>
  <c r="B66" i="4"/>
  <c r="C2" i="3"/>
  <c r="E26" i="12" l="1"/>
  <c r="E25" i="12"/>
  <c r="D16" i="10" s="1"/>
  <c r="E14" i="10"/>
  <c r="B6" i="9"/>
  <c r="E8" i="9"/>
  <c r="E15" i="10" l="1"/>
  <c r="E13" i="9"/>
  <c r="D47" i="4"/>
  <c r="D63" i="4" s="1"/>
  <c r="C56" i="4"/>
  <c r="C54" i="4"/>
  <c r="C53" i="4"/>
  <c r="C52" i="4"/>
  <c r="C51" i="4"/>
  <c r="C50" i="4"/>
  <c r="B54" i="4"/>
  <c r="B53" i="4"/>
  <c r="B52" i="4"/>
  <c r="B51" i="4"/>
  <c r="B50" i="4"/>
  <c r="D17" i="10" l="1"/>
  <c r="C15" i="9"/>
  <c r="C20" i="9"/>
  <c r="E14" i="9"/>
  <c r="C1" i="3"/>
  <c r="E15" i="9" l="1"/>
  <c r="C7" i="3"/>
  <c r="C6" i="3"/>
  <c r="D16" i="9" s="1"/>
  <c r="C8" i="3"/>
  <c r="D15" i="9"/>
  <c r="C18" i="3"/>
  <c r="C5" i="4"/>
  <c r="C6" i="4" s="1"/>
  <c r="C18" i="4"/>
  <c r="C31" i="4"/>
  <c r="C48" i="4" l="1"/>
  <c r="C49" i="4" s="1"/>
  <c r="C64" i="4"/>
  <c r="C65" i="4" s="1"/>
  <c r="D17" i="9"/>
  <c r="D11" i="4"/>
  <c r="D8" i="4"/>
  <c r="D7" i="4"/>
  <c r="D10" i="4"/>
  <c r="D9" i="4"/>
  <c r="C32" i="4"/>
  <c r="C19" i="4"/>
  <c r="D70" i="4" l="1"/>
  <c r="D69" i="4"/>
  <c r="D68" i="4"/>
  <c r="D75" i="4"/>
  <c r="D66" i="4"/>
  <c r="D67" i="4"/>
  <c r="D59" i="4"/>
  <c r="D37" i="4"/>
  <c r="D33" i="4"/>
  <c r="D36" i="4"/>
  <c r="D35" i="4"/>
  <c r="D34" i="4"/>
  <c r="D51" i="4"/>
  <c r="D54" i="4"/>
  <c r="D53" i="4"/>
  <c r="D52" i="4"/>
  <c r="D50" i="4"/>
  <c r="D22" i="4"/>
  <c r="D20" i="4"/>
  <c r="D24" i="4"/>
  <c r="D23" i="4"/>
  <c r="D21" i="4"/>
  <c r="D12" i="4"/>
  <c r="D71" i="4" l="1"/>
  <c r="D76" i="4" s="1"/>
  <c r="D38" i="4"/>
  <c r="D39" i="4" s="1"/>
  <c r="D40" i="4" s="1"/>
  <c r="D13" i="4"/>
  <c r="D14" i="4" s="1"/>
  <c r="D74" i="4" s="1"/>
  <c r="D55" i="4"/>
  <c r="D60" i="4" s="1"/>
  <c r="D25" i="4"/>
  <c r="D26" i="4" s="1"/>
  <c r="D27" i="4" s="1"/>
  <c r="C23" i="3" l="1"/>
  <c r="D73" i="4"/>
  <c r="D72" i="4"/>
  <c r="D56" i="4"/>
  <c r="D57" i="4"/>
  <c r="C22" i="3"/>
  <c r="D58" i="4"/>
  <c r="C20" i="3"/>
  <c r="C12" i="3" l="1"/>
  <c r="C13" i="3"/>
  <c r="D20" i="9" s="1"/>
  <c r="C11" i="3"/>
  <c r="D21" i="9" s="1"/>
  <c r="D22" i="9" l="1"/>
  <c r="D24" i="9"/>
</calcChain>
</file>

<file path=xl/sharedStrings.xml><?xml version="1.0" encoding="utf-8"?>
<sst xmlns="http://schemas.openxmlformats.org/spreadsheetml/2006/main" count="155" uniqueCount="73">
  <si>
    <t>Sales Price</t>
  </si>
  <si>
    <t>Loan Amount</t>
  </si>
  <si>
    <t>Loan Policy</t>
  </si>
  <si>
    <t>2nd Loan Policy</t>
  </si>
  <si>
    <t>Enhanced Owner's Policy</t>
  </si>
  <si>
    <t>Total</t>
  </si>
  <si>
    <t>Loan policies issued at same closing to same insured</t>
  </si>
  <si>
    <t>Only 1 policy issued at closing</t>
  </si>
  <si>
    <t>Loan Policy Only</t>
  </si>
  <si>
    <t>Enhanced Owner's Policy Only</t>
  </si>
  <si>
    <t>RESIDENTIAL</t>
  </si>
  <si>
    <t>Single Policy</t>
  </si>
  <si>
    <t>Rounded</t>
  </si>
  <si>
    <t>LTP Premium</t>
  </si>
  <si>
    <t>Amount</t>
  </si>
  <si>
    <t>Standard OTP Premium</t>
  </si>
  <si>
    <t>Enhanced OTP Premium</t>
  </si>
  <si>
    <t>Simultaneous Fee</t>
  </si>
  <si>
    <t>Simultaneous: Loan Greater Than Sales Price</t>
  </si>
  <si>
    <t>LTP for loan up to OTP</t>
  </si>
  <si>
    <t>Enhanced Owner's</t>
  </si>
  <si>
    <t>minimum</t>
  </si>
  <si>
    <t>Up to</t>
  </si>
  <si>
    <t>Over</t>
  </si>
  <si>
    <t>Calculation of Rates</t>
  </si>
  <si>
    <t>Simultaneous Issue Fee</t>
  </si>
  <si>
    <t>Effective Date:</t>
  </si>
  <si>
    <t>Transactions</t>
  </si>
  <si>
    <t>Cash Sale (OTP Only)</t>
  </si>
  <si>
    <t>Sale with Loan (OTP &amp; LTP)</t>
  </si>
  <si>
    <t>Refinance (LTP Only)</t>
  </si>
  <si>
    <t>Owner's Policies</t>
  </si>
  <si>
    <t>Basic</t>
  </si>
  <si>
    <t>Basic Owner's Policy</t>
  </si>
  <si>
    <t>Basic Owner's</t>
  </si>
  <si>
    <t>Enhanced (Homeowner's)</t>
  </si>
  <si>
    <t>(select here)</t>
  </si>
  <si>
    <t>Adj. Enhanced OTP Premium for CD</t>
  </si>
  <si>
    <t>Adj. Basic OTP Premium for CD</t>
  </si>
  <si>
    <t>Owner's Policy</t>
  </si>
  <si>
    <t>OTP Adj.</t>
  </si>
  <si>
    <t>Basic Owner's Policy Only</t>
  </si>
  <si>
    <r>
      <t xml:space="preserve">Sales Price </t>
    </r>
    <r>
      <rPr>
        <sz val="11"/>
        <color theme="0"/>
        <rFont val="Calibri"/>
        <family val="2"/>
        <scheme val="minor"/>
      </rPr>
      <t>(OTP Liability)</t>
    </r>
  </si>
  <si>
    <r>
      <t>Loan Amount</t>
    </r>
    <r>
      <rPr>
        <sz val="11"/>
        <color theme="0"/>
        <rFont val="Calibri"/>
        <family val="2"/>
        <scheme val="minor"/>
      </rPr>
      <t xml:space="preserve"> (LTP Liability)</t>
    </r>
  </si>
  <si>
    <t>Transaction Type</t>
  </si>
  <si>
    <t>OTP Type</t>
  </si>
  <si>
    <t>Simultaneous Premium</t>
  </si>
  <si>
    <t>Simultaneous Premium For Closing Disclosure</t>
  </si>
  <si>
    <t>LTP for CD</t>
  </si>
  <si>
    <t>Basic OTP Premium</t>
  </si>
  <si>
    <t>Adj. LTP (not CD)</t>
  </si>
  <si>
    <t>Published Rates:</t>
  </si>
  <si>
    <t>Closing Disclosure (CD):</t>
  </si>
  <si>
    <t>COMMERCIAL</t>
  </si>
  <si>
    <t>Single Issue</t>
  </si>
  <si>
    <t>OTP or Single</t>
  </si>
  <si>
    <t>Simultaneous</t>
  </si>
  <si>
    <t>Over (tier)</t>
  </si>
  <si>
    <t>Over (flat rate)</t>
  </si>
  <si>
    <t>Base Premiums</t>
  </si>
  <si>
    <t>Final Premiums (loan higher liability add diff to si fee)</t>
  </si>
  <si>
    <t>Final Premiums (si fee for lower liability)</t>
  </si>
  <si>
    <t>January 18, 2017</t>
  </si>
  <si>
    <t>Policies:</t>
  </si>
  <si>
    <t>Policies to be Issued</t>
  </si>
  <si>
    <t>current published rates</t>
  </si>
  <si>
    <t>Loan Liability</t>
  </si>
  <si>
    <t>Premium:</t>
  </si>
  <si>
    <t>Single Issue (OTP Only or LTP Only)</t>
  </si>
  <si>
    <t>Simultaneous Issue (OTP &amp; LTP)</t>
  </si>
  <si>
    <t>November 1, 2017</t>
  </si>
  <si>
    <r>
      <t xml:space="preserve">Premium does </t>
    </r>
    <r>
      <rPr>
        <b/>
        <i/>
        <sz val="9"/>
        <color theme="0"/>
        <rFont val="Calibri"/>
        <family val="2"/>
        <scheme val="minor"/>
      </rPr>
      <t>not</t>
    </r>
    <r>
      <rPr>
        <b/>
        <sz val="9"/>
        <color theme="0"/>
        <rFont val="Calibri"/>
        <family val="2"/>
        <scheme val="minor"/>
      </rPr>
      <t xml:space="preserve"> include endorsements. 
Contact an underwriter for endorsement pricing.</t>
    </r>
  </si>
  <si>
    <t>Our Underwriters: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</si>
</sst>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3"/>
      <name val="Calibri"/>
      <family val="2"/>
      <scheme val="minor"/>
    </font>
    <font>
      <b/>
      <sz val="10"/>
      <color rgb="FF8E0000"/>
      <name val="Arial"/>
      <family val="2"/>
    </font>
    <font>
      <sz val="11"/>
      <color theme="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7" tint="0.59999389629810485"/>
      <name val="Arial"/>
      <family val="2"/>
    </font>
    <font>
      <sz val="12"/>
      <color rgb="FF8E0000"/>
      <name val="Calibri"/>
      <family val="2"/>
      <scheme val="minor"/>
    </font>
    <font>
      <b/>
      <sz val="10"/>
      <color theme="1"/>
      <name val="Arial"/>
      <family val="2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F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5" fillId="0" borderId="0" xfId="0" applyFont="1" applyFill="1" applyBorder="1" applyAlignment="1">
      <alignment horizontal="left" vertical="center"/>
    </xf>
    <xf numFmtId="0" fontId="5" fillId="0" borderId="0" xfId="0" applyFont="1"/>
    <xf numFmtId="0" fontId="6" fillId="0" borderId="0" xfId="0" applyFont="1"/>
    <xf numFmtId="44" fontId="1" fillId="0" borderId="0" xfId="1" applyFill="1"/>
    <xf numFmtId="44" fontId="1" fillId="0" borderId="0" xfId="1"/>
    <xf numFmtId="0" fontId="0" fillId="0" borderId="0" xfId="0" applyAlignment="1"/>
    <xf numFmtId="44" fontId="1" fillId="0" borderId="7" xfId="1" applyFont="1" applyBorder="1"/>
    <xf numFmtId="44" fontId="3" fillId="2" borderId="8" xfId="1" applyFont="1" applyFill="1" applyBorder="1"/>
    <xf numFmtId="44" fontId="1" fillId="0" borderId="7" xfId="1" applyFont="1" applyFill="1" applyBorder="1"/>
    <xf numFmtId="44" fontId="3" fillId="0" borderId="0" xfId="1" applyFont="1" applyFill="1" applyBorder="1"/>
    <xf numFmtId="44" fontId="0" fillId="0" borderId="0" xfId="1" applyFont="1"/>
    <xf numFmtId="44" fontId="3" fillId="0" borderId="9" xfId="1" quotePrefix="1" applyFont="1" applyBorder="1" applyAlignment="1">
      <alignment horizontal="left"/>
    </xf>
    <xf numFmtId="44" fontId="3" fillId="0" borderId="7" xfId="0" applyNumberFormat="1" applyFont="1" applyBorder="1"/>
    <xf numFmtId="44" fontId="3" fillId="2" borderId="8" xfId="0" applyNumberFormat="1" applyFont="1" applyFill="1" applyBorder="1"/>
    <xf numFmtId="0" fontId="7" fillId="0" borderId="0" xfId="0" applyFont="1" applyAlignment="1" applyProtection="1">
      <alignment vertical="center"/>
      <protection hidden="1"/>
    </xf>
    <xf numFmtId="44" fontId="9" fillId="0" borderId="0" xfId="1" applyFont="1" applyAlignment="1" applyProtection="1">
      <alignment vertical="center"/>
      <protection hidden="1"/>
    </xf>
    <xf numFmtId="44" fontId="7" fillId="0" borderId="0" xfId="1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right"/>
    </xf>
    <xf numFmtId="43" fontId="0" fillId="0" borderId="0" xfId="2" applyFont="1"/>
    <xf numFmtId="4" fontId="0" fillId="0" borderId="0" xfId="2" applyNumberFormat="1" applyFont="1"/>
    <xf numFmtId="0" fontId="0" fillId="0" borderId="0" xfId="0" applyFont="1" applyAlignment="1">
      <alignment horizontal="right"/>
    </xf>
    <xf numFmtId="4" fontId="0" fillId="0" borderId="0" xfId="2" applyNumberFormat="1" applyFont="1" applyFill="1" applyBorder="1"/>
    <xf numFmtId="43" fontId="0" fillId="0" borderId="7" xfId="2" applyFont="1" applyBorder="1"/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0" xfId="0" applyFont="1" applyFill="1" applyBorder="1" applyProtection="1"/>
    <xf numFmtId="0" fontId="3" fillId="0" borderId="5" xfId="0" applyFont="1" applyBorder="1" applyAlignment="1" applyProtection="1">
      <alignment vertical="center"/>
    </xf>
    <xf numFmtId="0" fontId="3" fillId="3" borderId="2" xfId="0" applyFont="1" applyFill="1" applyBorder="1" applyAlignment="1" applyProtection="1">
      <alignment horizontal="center" vertical="center"/>
    </xf>
    <xf numFmtId="44" fontId="2" fillId="3" borderId="6" xfId="1" applyFont="1" applyFill="1" applyBorder="1" applyAlignment="1" applyProtection="1">
      <alignment vertical="center"/>
    </xf>
    <xf numFmtId="0" fontId="3" fillId="7" borderId="1" xfId="0" applyFont="1" applyFill="1" applyBorder="1" applyAlignment="1" applyProtection="1">
      <alignment vertical="center"/>
    </xf>
    <xf numFmtId="44" fontId="2" fillId="7" borderId="3" xfId="1" applyFont="1" applyFill="1" applyBorder="1" applyAlignment="1" applyProtection="1">
      <alignment vertical="center"/>
    </xf>
    <xf numFmtId="0" fontId="3" fillId="7" borderId="4" xfId="0" applyFont="1" applyFill="1" applyBorder="1" applyAlignment="1" applyProtection="1">
      <alignment vertical="center"/>
    </xf>
    <xf numFmtId="44" fontId="1" fillId="0" borderId="0" xfId="1" applyFill="1" applyProtection="1"/>
    <xf numFmtId="44" fontId="0" fillId="0" borderId="0" xfId="1" applyFont="1" applyFill="1"/>
    <xf numFmtId="0" fontId="0" fillId="0" borderId="0" xfId="0" applyAlignment="1">
      <alignment horizontal="center"/>
    </xf>
    <xf numFmtId="44" fontId="1" fillId="0" borderId="7" xfId="1" applyFont="1" applyFill="1" applyBorder="1" applyAlignment="1"/>
    <xf numFmtId="44" fontId="1" fillId="0" borderId="9" xfId="1" quotePrefix="1" applyFont="1" applyBorder="1" applyAlignment="1"/>
    <xf numFmtId="44" fontId="3" fillId="2" borderId="8" xfId="1" applyFont="1" applyFill="1" applyBorder="1" applyAlignment="1"/>
    <xf numFmtId="4" fontId="11" fillId="0" borderId="0" xfId="2" applyNumberFormat="1" applyFont="1" applyProtection="1">
      <protection locked="0"/>
    </xf>
    <xf numFmtId="43" fontId="11" fillId="0" borderId="0" xfId="2" applyFont="1" applyProtection="1">
      <protection locked="0"/>
    </xf>
    <xf numFmtId="2" fontId="11" fillId="0" borderId="0" xfId="2" applyNumberFormat="1" applyFont="1" applyAlignment="1" applyProtection="1">
      <alignment horizontal="right"/>
      <protection locked="0"/>
    </xf>
    <xf numFmtId="44" fontId="11" fillId="0" borderId="8" xfId="1" applyFont="1" applyBorder="1" applyProtection="1">
      <protection locked="0"/>
    </xf>
    <xf numFmtId="0" fontId="0" fillId="0" borderId="0" xfId="0" quotePrefix="1"/>
    <xf numFmtId="0" fontId="0" fillId="0" borderId="0" xfId="0" applyAlignment="1">
      <alignment horizontal="left"/>
    </xf>
    <xf numFmtId="49" fontId="11" fillId="0" borderId="0" xfId="0" applyNumberFormat="1" applyFont="1" applyAlignment="1" applyProtection="1">
      <alignment horizontal="left"/>
      <protection locked="0"/>
    </xf>
    <xf numFmtId="0" fontId="13" fillId="0" borderId="0" xfId="0" applyFont="1" applyFill="1" applyAlignment="1" applyProtection="1">
      <alignment vertical="center"/>
      <protection hidden="1"/>
    </xf>
    <xf numFmtId="0" fontId="11" fillId="0" borderId="0" xfId="0" applyFont="1"/>
    <xf numFmtId="0" fontId="0" fillId="0" borderId="0" xfId="0" applyFont="1"/>
    <xf numFmtId="0" fontId="14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44" fontId="16" fillId="0" borderId="0" xfId="1" applyFont="1" applyFill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</xf>
    <xf numFmtId="44" fontId="0" fillId="0" borderId="8" xfId="1" applyFont="1" applyBorder="1"/>
    <xf numFmtId="0" fontId="20" fillId="0" borderId="0" xfId="0" applyFont="1" applyAlignment="1" applyProtection="1">
      <alignment vertical="center"/>
      <protection hidden="1"/>
    </xf>
    <xf numFmtId="44" fontId="16" fillId="0" borderId="0" xfId="1" applyFont="1" applyBorder="1" applyAlignment="1" applyProtection="1">
      <alignment vertical="center"/>
      <protection hidden="1"/>
    </xf>
    <xf numFmtId="0" fontId="20" fillId="0" borderId="0" xfId="0" applyFont="1" applyAlignment="1" applyProtection="1">
      <alignment vertical="center" wrapText="1"/>
      <protection hidden="1"/>
    </xf>
    <xf numFmtId="44" fontId="2" fillId="12" borderId="19" xfId="1" applyFont="1" applyFill="1" applyBorder="1" applyAlignment="1" applyProtection="1">
      <alignment vertical="center"/>
    </xf>
    <xf numFmtId="44" fontId="2" fillId="12" borderId="10" xfId="1" applyFont="1" applyFill="1" applyBorder="1" applyAlignment="1" applyProtection="1">
      <alignment vertical="center"/>
    </xf>
    <xf numFmtId="44" fontId="21" fillId="11" borderId="3" xfId="1" applyFont="1" applyFill="1" applyBorder="1" applyAlignment="1" applyProtection="1">
      <alignment vertical="center"/>
    </xf>
    <xf numFmtId="44" fontId="21" fillId="11" borderId="4" xfId="1" applyFont="1" applyFill="1" applyBorder="1" applyAlignment="1" applyProtection="1">
      <alignment vertical="center"/>
    </xf>
    <xf numFmtId="44" fontId="21" fillId="11" borderId="6" xfId="1" applyFont="1" applyFill="1" applyBorder="1" applyAlignment="1" applyProtection="1">
      <alignment vertical="center"/>
    </xf>
    <xf numFmtId="0" fontId="18" fillId="11" borderId="0" xfId="0" applyFont="1" applyFill="1" applyAlignment="1" applyProtection="1">
      <alignment horizontal="center" vertical="center"/>
      <protection hidden="1"/>
    </xf>
    <xf numFmtId="0" fontId="16" fillId="0" borderId="13" xfId="0" applyFont="1" applyBorder="1" applyAlignment="1" applyProtection="1">
      <alignment horizontal="right" vertical="center"/>
      <protection hidden="1"/>
    </xf>
    <xf numFmtId="0" fontId="12" fillId="0" borderId="20" xfId="0" applyFont="1" applyBorder="1" applyAlignment="1" applyProtection="1">
      <alignment horizontal="left" vertical="center"/>
      <protection hidden="1"/>
    </xf>
    <xf numFmtId="0" fontId="7" fillId="0" borderId="21" xfId="0" applyFont="1" applyBorder="1" applyAlignment="1" applyProtection="1">
      <alignment vertical="center"/>
      <protection hidden="1"/>
    </xf>
    <xf numFmtId="0" fontId="9" fillId="0" borderId="1" xfId="0" applyFont="1" applyBorder="1" applyAlignment="1" applyProtection="1">
      <alignment vertical="center"/>
      <protection hidden="1"/>
    </xf>
    <xf numFmtId="0" fontId="17" fillId="0" borderId="0" xfId="0" applyFont="1" applyBorder="1" applyAlignment="1" applyProtection="1">
      <alignment horizontal="right" vertical="center"/>
      <protection hidden="1"/>
    </xf>
    <xf numFmtId="0" fontId="7" fillId="0" borderId="1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7" fillId="0" borderId="2" xfId="0" applyFont="1" applyBorder="1" applyAlignment="1" applyProtection="1">
      <alignment vertical="center"/>
      <protection hidden="1"/>
    </xf>
    <xf numFmtId="0" fontId="17" fillId="0" borderId="22" xfId="0" applyFont="1" applyBorder="1" applyAlignment="1" applyProtection="1">
      <alignment horizontal="right" vertical="center"/>
      <protection hidden="1"/>
    </xf>
    <xf numFmtId="0" fontId="17" fillId="0" borderId="20" xfId="0" applyFont="1" applyBorder="1" applyAlignment="1" applyProtection="1">
      <alignment horizontal="left" vertical="center"/>
      <protection hidden="1"/>
    </xf>
    <xf numFmtId="44" fontId="19" fillId="0" borderId="14" xfId="1" applyFont="1" applyBorder="1" applyAlignment="1" applyProtection="1">
      <alignment vertical="center"/>
      <protection hidden="1"/>
    </xf>
    <xf numFmtId="44" fontId="19" fillId="0" borderId="21" xfId="1" applyFont="1" applyBorder="1" applyAlignment="1" applyProtection="1">
      <alignment vertical="center"/>
      <protection hidden="1"/>
    </xf>
    <xf numFmtId="0" fontId="9" fillId="0" borderId="2" xfId="0" applyFont="1" applyBorder="1" applyAlignment="1" applyProtection="1">
      <alignment vertical="center"/>
      <protection hidden="1"/>
    </xf>
    <xf numFmtId="44" fontId="17" fillId="0" borderId="23" xfId="1" applyFont="1" applyBorder="1" applyAlignment="1" applyProtection="1">
      <alignment vertical="center"/>
      <protection hidden="1"/>
    </xf>
    <xf numFmtId="44" fontId="17" fillId="0" borderId="21" xfId="1" applyFont="1" applyBorder="1" applyAlignment="1" applyProtection="1">
      <alignment vertical="center"/>
      <protection hidden="1"/>
    </xf>
    <xf numFmtId="44" fontId="17" fillId="0" borderId="23" xfId="0" applyNumberFormat="1" applyFont="1" applyBorder="1" applyAlignment="1" applyProtection="1">
      <alignment vertical="center"/>
      <protection hidden="1"/>
    </xf>
    <xf numFmtId="0" fontId="3" fillId="0" borderId="0" xfId="0" applyFont="1" applyBorder="1" applyAlignment="1">
      <alignment horizontal="center"/>
    </xf>
    <xf numFmtId="0" fontId="3" fillId="14" borderId="8" xfId="0" applyFont="1" applyFill="1" applyBorder="1" applyAlignment="1">
      <alignment horizontal="center"/>
    </xf>
    <xf numFmtId="44" fontId="0" fillId="0" borderId="0" xfId="0" applyNumberFormat="1"/>
    <xf numFmtId="43" fontId="1" fillId="0" borderId="0" xfId="2" applyFont="1" applyProtection="1"/>
    <xf numFmtId="4" fontId="1" fillId="0" borderId="0" xfId="2" applyNumberFormat="1" applyFont="1" applyProtection="1"/>
    <xf numFmtId="0" fontId="3" fillId="0" borderId="0" xfId="0" applyFont="1" applyAlignment="1">
      <alignment horizontal="right"/>
    </xf>
    <xf numFmtId="44" fontId="22" fillId="15" borderId="8" xfId="1" applyFont="1" applyFill="1" applyBorder="1" applyAlignment="1"/>
    <xf numFmtId="44" fontId="3" fillId="0" borderId="0" xfId="1" applyFont="1" applyAlignment="1">
      <alignment horizontal="center"/>
    </xf>
    <xf numFmtId="0" fontId="3" fillId="16" borderId="24" xfId="0" applyFont="1" applyFill="1" applyBorder="1"/>
    <xf numFmtId="0" fontId="3" fillId="16" borderId="25" xfId="0" applyFont="1" applyFill="1" applyBorder="1"/>
    <xf numFmtId="43" fontId="11" fillId="16" borderId="25" xfId="2" applyFont="1" applyFill="1" applyBorder="1" applyProtection="1"/>
    <xf numFmtId="0" fontId="3" fillId="0" borderId="0" xfId="0" applyFont="1" applyFill="1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44" fontId="1" fillId="0" borderId="0" xfId="1" applyFill="1" applyBorder="1" applyProtection="1"/>
    <xf numFmtId="44" fontId="0" fillId="0" borderId="0" xfId="1" applyFont="1" applyFill="1" applyBorder="1"/>
    <xf numFmtId="0" fontId="0" fillId="0" borderId="0" xfId="0" applyFill="1" applyBorder="1" applyAlignment="1"/>
    <xf numFmtId="44" fontId="1" fillId="0" borderId="0" xfId="1" applyFont="1" applyFill="1" applyBorder="1" applyAlignment="1"/>
    <xf numFmtId="44" fontId="3" fillId="0" borderId="0" xfId="1" quotePrefix="1" applyFont="1" applyFill="1" applyBorder="1" applyAlignment="1"/>
    <xf numFmtId="44" fontId="3" fillId="0" borderId="0" xfId="0" applyNumberFormat="1" applyFont="1" applyFill="1" applyBorder="1" applyAlignment="1"/>
    <xf numFmtId="0" fontId="11" fillId="0" borderId="0" xfId="0" quotePrefix="1" applyFont="1"/>
    <xf numFmtId="0" fontId="0" fillId="0" borderId="0" xfId="0" applyFill="1"/>
    <xf numFmtId="1" fontId="0" fillId="0" borderId="0" xfId="0" applyNumberFormat="1" applyFill="1"/>
    <xf numFmtId="43" fontId="23" fillId="0" borderId="0" xfId="0" applyNumberFormat="1" applyFont="1" applyFill="1"/>
    <xf numFmtId="0" fontId="24" fillId="0" borderId="0" xfId="0" applyFont="1" applyAlignment="1" applyProtection="1">
      <alignment vertical="center"/>
      <protection hidden="1"/>
    </xf>
    <xf numFmtId="44" fontId="19" fillId="0" borderId="0" xfId="1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44" fontId="17" fillId="0" borderId="0" xfId="1" applyFont="1" applyBorder="1" applyAlignment="1" applyProtection="1">
      <alignment vertical="center"/>
      <protection hidden="1"/>
    </xf>
    <xf numFmtId="44" fontId="17" fillId="0" borderId="0" xfId="0" applyNumberFormat="1" applyFont="1" applyBorder="1" applyAlignment="1" applyProtection="1">
      <alignment vertical="center"/>
      <protection hidden="1"/>
    </xf>
    <xf numFmtId="44" fontId="25" fillId="0" borderId="8" xfId="1" applyFont="1" applyFill="1" applyBorder="1" applyAlignment="1"/>
    <xf numFmtId="0" fontId="2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4" fillId="9" borderId="0" xfId="0" applyFont="1" applyFill="1" applyAlignment="1" applyProtection="1">
      <alignment horizontal="left" vertical="center"/>
      <protection locked="0" hidden="1"/>
    </xf>
    <xf numFmtId="0" fontId="12" fillId="0" borderId="0" xfId="0" applyFont="1" applyFill="1" applyAlignment="1" applyProtection="1">
      <alignment horizontal="left" vertical="center"/>
      <protection locked="0"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wrapText="1"/>
      <protection hidden="1"/>
    </xf>
    <xf numFmtId="0" fontId="15" fillId="0" borderId="0" xfId="0" applyFont="1" applyFill="1" applyAlignment="1" applyProtection="1">
      <alignment horizontal="center" vertical="center"/>
      <protection hidden="1"/>
    </xf>
    <xf numFmtId="0" fontId="16" fillId="0" borderId="13" xfId="0" applyFont="1" applyBorder="1" applyAlignment="1" applyProtection="1">
      <alignment horizontal="center" vertical="center"/>
      <protection hidden="1"/>
    </xf>
    <xf numFmtId="0" fontId="16" fillId="0" borderId="20" xfId="0" applyFont="1" applyBorder="1" applyAlignment="1" applyProtection="1">
      <alignment horizontal="center" vertical="center"/>
      <protection hidden="1"/>
    </xf>
    <xf numFmtId="0" fontId="27" fillId="0" borderId="0" xfId="0" applyFont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left" vertical="center"/>
      <protection hidden="1"/>
    </xf>
    <xf numFmtId="0" fontId="0" fillId="10" borderId="5" xfId="0" applyFont="1" applyFill="1" applyBorder="1" applyAlignment="1" applyProtection="1">
      <alignment horizontal="center"/>
    </xf>
    <xf numFmtId="0" fontId="3" fillId="10" borderId="15" xfId="0" applyFont="1" applyFill="1" applyBorder="1" applyAlignment="1" applyProtection="1">
      <alignment horizontal="center"/>
    </xf>
    <xf numFmtId="0" fontId="1" fillId="7" borderId="5" xfId="0" applyFont="1" applyFill="1" applyBorder="1" applyAlignment="1" applyProtection="1">
      <alignment horizontal="center"/>
    </xf>
    <xf numFmtId="0" fontId="3" fillId="7" borderId="15" xfId="0" applyFont="1" applyFill="1" applyBorder="1" applyAlignment="1" applyProtection="1">
      <alignment horizontal="center"/>
    </xf>
    <xf numFmtId="0" fontId="0" fillId="10" borderId="11" xfId="0" applyFont="1" applyFill="1" applyBorder="1" applyAlignment="1" applyProtection="1">
      <alignment horizontal="center"/>
    </xf>
    <xf numFmtId="0" fontId="3" fillId="10" borderId="12" xfId="0" applyFont="1" applyFill="1" applyBorder="1" applyAlignment="1" applyProtection="1">
      <alignment horizontal="center"/>
    </xf>
    <xf numFmtId="0" fontId="3" fillId="10" borderId="13" xfId="0" applyFont="1" applyFill="1" applyBorder="1" applyAlignment="1" applyProtection="1">
      <alignment horizontal="center"/>
    </xf>
    <xf numFmtId="0" fontId="3" fillId="10" borderId="14" xfId="0" applyFont="1" applyFill="1" applyBorder="1" applyAlignment="1" applyProtection="1">
      <alignment horizontal="center"/>
    </xf>
    <xf numFmtId="0" fontId="0" fillId="4" borderId="5" xfId="0" applyFont="1" applyFill="1" applyBorder="1" applyAlignment="1" applyProtection="1">
      <alignment horizontal="center"/>
    </xf>
    <xf numFmtId="0" fontId="3" fillId="4" borderId="15" xfId="0" applyFont="1" applyFill="1" applyBorder="1" applyAlignment="1" applyProtection="1">
      <alignment horizontal="center"/>
    </xf>
    <xf numFmtId="0" fontId="3" fillId="8" borderId="16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left"/>
    </xf>
    <xf numFmtId="0" fontId="3" fillId="8" borderId="17" xfId="0" applyFont="1" applyFill="1" applyBorder="1" applyAlignment="1">
      <alignment horizontal="left"/>
    </xf>
    <xf numFmtId="0" fontId="3" fillId="8" borderId="18" xfId="0" applyFont="1" applyFill="1" applyBorder="1" applyAlignment="1">
      <alignment horizontal="left"/>
    </xf>
    <xf numFmtId="0" fontId="4" fillId="6" borderId="16" xfId="0" applyFont="1" applyFill="1" applyBorder="1" applyAlignment="1" applyProtection="1">
      <alignment horizontal="center"/>
    </xf>
    <xf numFmtId="0" fontId="4" fillId="6" borderId="17" xfId="0" applyFont="1" applyFill="1" applyBorder="1" applyAlignment="1" applyProtection="1">
      <alignment horizontal="center"/>
    </xf>
    <xf numFmtId="0" fontId="4" fillId="6" borderId="18" xfId="0" applyFont="1" applyFill="1" applyBorder="1" applyAlignment="1" applyProtection="1">
      <alignment horizontal="center"/>
    </xf>
    <xf numFmtId="0" fontId="3" fillId="0" borderId="17" xfId="0" applyFont="1" applyBorder="1" applyAlignment="1">
      <alignment horizontal="center"/>
    </xf>
    <xf numFmtId="0" fontId="25" fillId="0" borderId="16" xfId="0" applyFont="1" applyFill="1" applyBorder="1" applyAlignment="1">
      <alignment horizontal="center"/>
    </xf>
    <xf numFmtId="0" fontId="25" fillId="0" borderId="17" xfId="0" applyFont="1" applyFill="1" applyBorder="1" applyAlignment="1">
      <alignment horizontal="center"/>
    </xf>
    <xf numFmtId="0" fontId="25" fillId="0" borderId="18" xfId="0" applyFont="1" applyFill="1" applyBorder="1" applyAlignment="1">
      <alignment horizontal="center"/>
    </xf>
    <xf numFmtId="0" fontId="4" fillId="13" borderId="1" xfId="0" applyFont="1" applyFill="1" applyBorder="1" applyAlignment="1" applyProtection="1">
      <alignment horizontal="center"/>
    </xf>
    <xf numFmtId="0" fontId="4" fillId="13" borderId="0" xfId="0" applyFont="1" applyFill="1" applyBorder="1" applyAlignment="1" applyProtection="1">
      <alignment horizontal="center"/>
    </xf>
    <xf numFmtId="0" fontId="3" fillId="0" borderId="20" xfId="0" applyFont="1" applyBorder="1" applyAlignment="1">
      <alignment horizontal="center"/>
    </xf>
    <xf numFmtId="0" fontId="22" fillId="13" borderId="16" xfId="0" applyFont="1" applyFill="1" applyBorder="1" applyAlignment="1">
      <alignment horizontal="center"/>
    </xf>
    <xf numFmtId="0" fontId="22" fillId="13" borderId="17" xfId="0" applyFont="1" applyFill="1" applyBorder="1" applyAlignment="1">
      <alignment horizontal="center"/>
    </xf>
    <xf numFmtId="0" fontId="22" fillId="13" borderId="18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center"/>
    </xf>
    <xf numFmtId="43" fontId="11" fillId="0" borderId="16" xfId="2" applyFont="1" applyBorder="1" applyAlignment="1" applyProtection="1">
      <alignment horizontal="center"/>
      <protection locked="0"/>
    </xf>
    <xf numFmtId="43" fontId="11" fillId="0" borderId="18" xfId="2" applyFont="1" applyBorder="1" applyAlignment="1" applyProtection="1">
      <alignment horizontal="center"/>
      <protection locked="0"/>
    </xf>
  </cellXfs>
  <cellStyles count="3">
    <cellStyle name="Comma" xfId="2" builtinId="3"/>
    <cellStyle name="Currency" xfId="1" builtinId="4"/>
    <cellStyle name="Normal" xfId="0" builtinId="0"/>
  </cellStyles>
  <dxfs count="38">
    <dxf>
      <font>
        <color theme="1"/>
      </font>
    </dxf>
    <dxf>
      <border>
        <left/>
        <right/>
        <top/>
        <bottom/>
        <vertical/>
        <horizontal/>
      </border>
    </dxf>
    <dxf>
      <font>
        <color theme="1"/>
      </font>
    </dxf>
    <dxf>
      <border>
        <top style="thin">
          <color auto="1"/>
        </top>
        <vertical/>
        <horizontal/>
      </border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rgb="FFFFC000"/>
        </patternFill>
      </fill>
      <border>
        <top style="thin">
          <color theme="0"/>
        </top>
      </border>
    </dxf>
    <dxf>
      <fill>
        <patternFill>
          <bgColor rgb="FFFFDF79"/>
        </patternFill>
      </fill>
      <border>
        <top style="thin">
          <color theme="0"/>
        </top>
      </border>
    </dxf>
    <dxf>
      <fill>
        <patternFill>
          <bgColor rgb="FFFFC000"/>
        </patternFill>
      </fill>
    </dxf>
    <dxf>
      <fill>
        <patternFill>
          <bgColor rgb="FFFFDF79"/>
        </patternFill>
      </fill>
    </dxf>
    <dxf>
      <fill>
        <patternFill>
          <bgColor rgb="FFFFDF79"/>
        </patternFill>
      </fill>
    </dxf>
    <dxf>
      <fill>
        <patternFill>
          <bgColor rgb="FFFFC000"/>
        </patternFill>
      </fill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color theme="1"/>
      </font>
    </dxf>
    <dxf>
      <border>
        <top style="thin">
          <color auto="1"/>
        </top>
        <vertical/>
        <horizontal/>
      </border>
    </dxf>
    <dxf>
      <font>
        <color theme="3" tint="-0.24994659260841701"/>
      </font>
    </dxf>
    <dxf>
      <border>
        <top style="thin">
          <color auto="1"/>
        </top>
        <vertical/>
        <horizontal/>
      </border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rgb="FFFFC000"/>
        </patternFill>
      </fill>
    </dxf>
    <dxf>
      <fill>
        <patternFill>
          <bgColor rgb="FFFFDF79"/>
        </patternFill>
      </fill>
    </dxf>
    <dxf>
      <font>
        <color theme="1"/>
      </font>
    </dxf>
    <dxf>
      <font>
        <color theme="1"/>
      </font>
    </dxf>
    <dxf>
      <fill>
        <patternFill>
          <bgColor rgb="FFFFC000"/>
        </patternFill>
      </fill>
      <border>
        <top style="thin">
          <color theme="0"/>
        </top>
      </border>
    </dxf>
    <dxf>
      <fill>
        <patternFill>
          <bgColor rgb="FFFFDF79"/>
        </patternFill>
      </fill>
      <border>
        <top style="thin">
          <color theme="0"/>
        </top>
      </border>
    </dxf>
    <dxf>
      <fill>
        <patternFill>
          <bgColor rgb="FFFFC000"/>
        </patternFill>
      </fill>
    </dxf>
    <dxf>
      <fill>
        <patternFill>
          <bgColor rgb="FFFFDF79"/>
        </patternFill>
      </fill>
    </dxf>
    <dxf>
      <fill>
        <patternFill>
          <bgColor rgb="FFFFDF79"/>
        </patternFill>
      </fill>
    </dxf>
    <dxf>
      <fill>
        <patternFill>
          <bgColor rgb="FFFFC000"/>
        </patternFill>
      </fill>
    </dxf>
    <dxf>
      <font>
        <color theme="1"/>
      </font>
    </dxf>
    <dxf>
      <fill>
        <patternFill>
          <bgColor theme="3" tint="0.59996337778862885"/>
        </patternFill>
      </fill>
      <border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2"/>
        </patternFill>
      </fill>
    </dxf>
    <dxf>
      <font>
        <b/>
        <i val="0"/>
        <color theme="0"/>
      </font>
      <fill>
        <patternFill>
          <bgColor theme="3" tint="-0.499984740745262"/>
        </patternFill>
      </fill>
    </dxf>
  </dxfs>
  <tableStyles count="1" defaultTableStyle="TableStyleMedium2" defaultPivotStyle="PivotStyleLight16">
    <tableStyle name="Table Style 2" pivot="0" count="3">
      <tableStyleElement type="headerRow" dxfId="37"/>
      <tableStyleElement type="firstRowStripe" dxfId="36"/>
      <tableStyleElement type="secondRowStripe" dxfId="35"/>
    </tableStyle>
  </tableStyles>
  <colors>
    <mruColors>
      <color rgb="FF8E0000"/>
      <color rgb="FFFFDF79"/>
      <color rgb="FFFFDC6D"/>
      <color rgb="FFB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gordon@cticga.com" TargetMode="External"/><Relationship Id="rId7" Type="http://schemas.openxmlformats.org/officeDocument/2006/relationships/hyperlink" Target="mailto:susan.vandermeer@cticga.com" TargetMode="External"/><Relationship Id="rId2" Type="http://schemas.openxmlformats.org/officeDocument/2006/relationships/hyperlink" Target="mailto:hilary.fentress@cticga.com" TargetMode="External"/><Relationship Id="rId1" Type="http://schemas.openxmlformats.org/officeDocument/2006/relationships/image" Target="../media/image1.png"/><Relationship Id="rId6" Type="http://schemas.openxmlformats.org/officeDocument/2006/relationships/hyperlink" Target="mailto:rhee.mccallum@cticga.com" TargetMode="External"/><Relationship Id="rId5" Type="http://schemas.openxmlformats.org/officeDocument/2006/relationships/hyperlink" Target="mailto:michael.cotton@cticga.com" TargetMode="External"/><Relationship Id="rId4" Type="http://schemas.openxmlformats.org/officeDocument/2006/relationships/hyperlink" Target="mailto:dave.swan@cticga.com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gordon@cticga.com" TargetMode="External"/><Relationship Id="rId7" Type="http://schemas.openxmlformats.org/officeDocument/2006/relationships/hyperlink" Target="mailto:susan.vandermeer@cticga.com" TargetMode="External"/><Relationship Id="rId2" Type="http://schemas.openxmlformats.org/officeDocument/2006/relationships/hyperlink" Target="mailto:hilary.fentress@cticga.com" TargetMode="External"/><Relationship Id="rId1" Type="http://schemas.openxmlformats.org/officeDocument/2006/relationships/image" Target="../media/image1.png"/><Relationship Id="rId6" Type="http://schemas.openxmlformats.org/officeDocument/2006/relationships/hyperlink" Target="mailto:rhee.mccallum@cticga.com" TargetMode="External"/><Relationship Id="rId5" Type="http://schemas.openxmlformats.org/officeDocument/2006/relationships/hyperlink" Target="mailto:michael.cotton@cticga.com" TargetMode="External"/><Relationship Id="rId4" Type="http://schemas.openxmlformats.org/officeDocument/2006/relationships/hyperlink" Target="mailto:dave.swan@cticga.com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563880</xdr:colOff>
      <xdr:row>0</xdr:row>
      <xdr:rowOff>0</xdr:rowOff>
    </xdr:from>
    <xdr:to>
      <xdr:col>5</xdr:col>
      <xdr:colOff>2644140</xdr:colOff>
      <xdr:row>23</xdr:row>
      <xdr:rowOff>182880</xdr:rowOff>
    </xdr:to>
    <xdr:sp macro="" textlink="">
      <xdr:nvSpPr>
        <xdr:cNvPr id="12" name="Rectangle 11"/>
        <xdr:cNvSpPr/>
      </xdr:nvSpPr>
      <xdr:spPr>
        <a:xfrm>
          <a:off x="4206240" y="0"/>
          <a:ext cx="2080260" cy="4762500"/>
        </a:xfrm>
        <a:prstGeom prst="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3</xdr:col>
      <xdr:colOff>1341120</xdr:colOff>
      <xdr:row>0</xdr:row>
      <xdr:rowOff>0</xdr:rowOff>
    </xdr:from>
    <xdr:to>
      <xdr:col>5</xdr:col>
      <xdr:colOff>1531620</xdr:colOff>
      <xdr:row>23</xdr:row>
      <xdr:rowOff>182880</xdr:rowOff>
    </xdr:to>
    <xdr:sp macro="" textlink="">
      <xdr:nvSpPr>
        <xdr:cNvPr id="4" name="Isosceles Triangle 3"/>
        <xdr:cNvSpPr/>
      </xdr:nvSpPr>
      <xdr:spPr>
        <a:xfrm rot="10800000">
          <a:off x="3368040" y="0"/>
          <a:ext cx="1805940" cy="4762500"/>
        </a:xfrm>
        <a:prstGeom prst="triangle">
          <a:avLst>
            <a:gd name="adj" fmla="val 54376"/>
          </a:avLst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4</xdr:col>
      <xdr:colOff>228600</xdr:colOff>
      <xdr:row>2</xdr:row>
      <xdr:rowOff>175260</xdr:rowOff>
    </xdr:from>
    <xdr:to>
      <xdr:col>5</xdr:col>
      <xdr:colOff>2603955</xdr:colOff>
      <xdr:row>7</xdr:row>
      <xdr:rowOff>15240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1880" y="571500"/>
          <a:ext cx="2634435" cy="73914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5</xdr:col>
      <xdr:colOff>2255520</xdr:colOff>
      <xdr:row>5</xdr:row>
      <xdr:rowOff>106680</xdr:rowOff>
    </xdr:to>
    <xdr:sp macro="" textlink="">
      <xdr:nvSpPr>
        <xdr:cNvPr id="3" name="Isosceles Triangle 2"/>
        <xdr:cNvSpPr/>
      </xdr:nvSpPr>
      <xdr:spPr>
        <a:xfrm rot="10800000">
          <a:off x="0" y="0"/>
          <a:ext cx="5897880" cy="1036320"/>
        </a:xfrm>
        <a:prstGeom prst="triangle">
          <a:avLst>
            <a:gd name="adj" fmla="val 100000"/>
          </a:avLst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</xdr:col>
      <xdr:colOff>0</xdr:colOff>
      <xdr:row>0</xdr:row>
      <xdr:rowOff>182880</xdr:rowOff>
    </xdr:from>
    <xdr:to>
      <xdr:col>3</xdr:col>
      <xdr:colOff>411480</xdr:colOff>
      <xdr:row>2</xdr:row>
      <xdr:rowOff>175260</xdr:rowOff>
    </xdr:to>
    <xdr:sp macro="" textlink="">
      <xdr:nvSpPr>
        <xdr:cNvPr id="5" name="TextBox 4"/>
        <xdr:cNvSpPr txBox="1"/>
      </xdr:nvSpPr>
      <xdr:spPr>
        <a:xfrm>
          <a:off x="259080" y="182880"/>
          <a:ext cx="2179320" cy="388620"/>
        </a:xfrm>
        <a:prstGeom prst="rect">
          <a:avLst/>
        </a:prstGeom>
        <a:solidFill>
          <a:srgbClr val="FFC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US" sz="2000" b="1">
              <a:solidFill>
                <a:schemeClr val="tx2">
                  <a:lumMod val="75000"/>
                </a:schemeClr>
              </a:solidFill>
            </a:rPr>
            <a:t>RESIDENTIAL RATES</a:t>
          </a:r>
        </a:p>
      </xdr:txBody>
    </xdr:sp>
    <xdr:clientData/>
  </xdr:twoCellAnchor>
  <xdr:twoCellAnchor>
    <xdr:from>
      <xdr:col>5</xdr:col>
      <xdr:colOff>678180</xdr:colOff>
      <xdr:row>18</xdr:row>
      <xdr:rowOff>76200</xdr:rowOff>
    </xdr:from>
    <xdr:to>
      <xdr:col>5</xdr:col>
      <xdr:colOff>2651760</xdr:colOff>
      <xdr:row>23</xdr:row>
      <xdr:rowOff>38100</xdr:rowOff>
    </xdr:to>
    <xdr:sp macro="" textlink="">
      <xdr:nvSpPr>
        <xdr:cNvPr id="7" name="TextBox 6"/>
        <xdr:cNvSpPr txBox="1"/>
      </xdr:nvSpPr>
      <xdr:spPr>
        <a:xfrm>
          <a:off x="4282440" y="3672840"/>
          <a:ext cx="1973580" cy="929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b="0">
              <a:solidFill>
                <a:schemeClr val="bg1"/>
              </a:solidFill>
            </a:rPr>
            <a:t>4170 Ashford Dunwoody Road</a:t>
          </a:r>
        </a:p>
        <a:p>
          <a:pPr algn="r"/>
          <a:r>
            <a:rPr lang="en-US" sz="1100" b="0">
              <a:solidFill>
                <a:schemeClr val="bg1"/>
              </a:solidFill>
            </a:rPr>
            <a:t>Suite 460</a:t>
          </a:r>
        </a:p>
        <a:p>
          <a:pPr algn="r"/>
          <a:r>
            <a:rPr lang="en-US" sz="1100" b="0">
              <a:solidFill>
                <a:schemeClr val="bg1"/>
              </a:solidFill>
            </a:rPr>
            <a:t>Atlanta, GA 30319</a:t>
          </a:r>
        </a:p>
        <a:p>
          <a:pPr algn="r"/>
          <a:r>
            <a:rPr lang="en-US" sz="1100" b="1">
              <a:solidFill>
                <a:schemeClr val="bg1"/>
              </a:solidFill>
            </a:rPr>
            <a:t>Main 404.</a:t>
          </a:r>
          <a:r>
            <a:rPr lang="en-US" sz="1100" b="1" baseline="0">
              <a:solidFill>
                <a:schemeClr val="bg1"/>
              </a:solidFill>
            </a:rPr>
            <a:t>303.6300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7</xdr:col>
      <xdr:colOff>15240</xdr:colOff>
      <xdr:row>0</xdr:row>
      <xdr:rowOff>190500</xdr:rowOff>
    </xdr:from>
    <xdr:to>
      <xdr:col>8</xdr:col>
      <xdr:colOff>7620</xdr:colOff>
      <xdr:row>14</xdr:row>
      <xdr:rowOff>160020</xdr:rowOff>
    </xdr:to>
    <xdr:grpSp>
      <xdr:nvGrpSpPr>
        <xdr:cNvPr id="2" name="Group 1"/>
        <xdr:cNvGrpSpPr/>
      </xdr:nvGrpSpPr>
      <xdr:grpSpPr>
        <a:xfrm>
          <a:off x="6520815" y="190500"/>
          <a:ext cx="4002405" cy="2731770"/>
          <a:chOff x="7025640" y="640080"/>
          <a:chExt cx="4114800" cy="2743200"/>
        </a:xfrm>
      </xdr:grpSpPr>
      <xdr:sp macro="" textlink="">
        <xdr:nvSpPr>
          <xdr:cNvPr id="1031" name="Text Box 7">
            <a:hlinkClick xmlns:r="http://schemas.openxmlformats.org/officeDocument/2006/relationships" r:id="rId2" tooltip="Email Hilary Fentress"/>
          </xdr:cNvPr>
          <xdr:cNvSpPr txBox="1">
            <a:spLocks noChangeArrowheads="1"/>
          </xdr:cNvSpPr>
        </xdr:nvSpPr>
        <xdr:spPr bwMode="auto">
          <a:xfrm>
            <a:off x="7025640" y="640080"/>
            <a:ext cx="4114800" cy="457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anchorCtr="0" upright="1"/>
          <a:lstStyle/>
          <a:p>
            <a:pPr algn="l" rtl="0">
              <a:defRPr sz="1000"/>
            </a:pPr>
            <a:r>
              <a:rPr lang="en-US" sz="1150" b="1" i="0" u="none" strike="noStrike" baseline="0">
                <a:solidFill>
                  <a:srgbClr val="033668"/>
                </a:solidFill>
                <a:latin typeface="Calibri"/>
              </a:rPr>
              <a:t>Hilary Fentress</a:t>
            </a:r>
            <a:r>
              <a:rPr lang="en-US" sz="1050" b="1" i="0" u="none" strike="noStrike" baseline="0">
                <a:solidFill>
                  <a:srgbClr val="033668"/>
                </a:solidFill>
                <a:latin typeface="Calibri"/>
              </a:rPr>
              <a:t>, </a:t>
            </a:r>
            <a:r>
              <a:rPr lang="en-US" sz="1200" b="1" i="1" u="none" strike="noStrike" baseline="0">
                <a:solidFill>
                  <a:srgbClr val="033668"/>
                </a:solidFill>
                <a:latin typeface="Calibri"/>
              </a:rPr>
              <a:t>VP &amp; Georgia State Counsel</a:t>
            </a:r>
            <a:endParaRPr lang="en-US" sz="1150" b="1" i="0" u="none" strike="noStrike" baseline="0">
              <a:solidFill>
                <a:srgbClr val="033668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Calibri"/>
              </a:rPr>
              <a:t>hilary.fentress@cticga.com o: (404) 419-3226 c: (404) 353-8147</a:t>
            </a:r>
          </a:p>
          <a:p>
            <a:pPr algn="l" rtl="0">
              <a:defRPr sz="1000"/>
            </a:pPr>
            <a:endParaRPr lang="en-US" sz="115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1032" name="Text Box 8">
            <a:hlinkClick xmlns:r="http://schemas.openxmlformats.org/officeDocument/2006/relationships" r:id="rId3" tooltip="Email David Gordon"/>
          </xdr:cNvPr>
          <xdr:cNvSpPr txBox="1">
            <a:spLocks noChangeArrowheads="1"/>
          </xdr:cNvSpPr>
        </xdr:nvSpPr>
        <xdr:spPr bwMode="auto">
          <a:xfrm>
            <a:off x="7025640" y="1097280"/>
            <a:ext cx="4114800" cy="457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anchorCtr="0" upright="1"/>
          <a:lstStyle/>
          <a:p>
            <a:pPr algn="l" rtl="0">
              <a:defRPr sz="1000"/>
            </a:pPr>
            <a:r>
              <a:rPr lang="en-US" sz="1150" b="1" i="0" u="none" strike="noStrike" baseline="0">
                <a:solidFill>
                  <a:srgbClr val="033668"/>
                </a:solidFill>
                <a:latin typeface="Calibri"/>
              </a:rPr>
              <a:t>David Gordon</a:t>
            </a:r>
            <a:r>
              <a:rPr lang="en-US" sz="1050" b="1" i="0" u="none" strike="noStrike" baseline="0">
                <a:solidFill>
                  <a:srgbClr val="033668"/>
                </a:solidFill>
                <a:latin typeface="Calibri"/>
              </a:rPr>
              <a:t>, </a:t>
            </a:r>
            <a:r>
              <a:rPr lang="en-US" sz="1200" b="1" i="1" u="none" strike="noStrike" baseline="0">
                <a:solidFill>
                  <a:srgbClr val="033668"/>
                </a:solidFill>
                <a:latin typeface="Calibri"/>
              </a:rPr>
              <a:t>VP &amp; Underwriting Counsel</a:t>
            </a:r>
            <a:endParaRPr lang="en-US" sz="1150" b="1" i="0" u="none" strike="noStrike" baseline="0">
              <a:solidFill>
                <a:srgbClr val="033668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n-US" sz="1150" b="0" i="0" u="none" strike="noStrike" baseline="0">
                <a:solidFill>
                  <a:sysClr val="windowText" lastClr="000000"/>
                </a:solidFill>
                <a:latin typeface="Calibri"/>
              </a:rPr>
              <a:t>david.gordon@cticga.com</a:t>
            </a:r>
            <a:r>
              <a:rPr lang="en-US" sz="1150" b="0" i="0" u="none" strike="noStrike" baseline="0">
                <a:solidFill>
                  <a:srgbClr val="000000"/>
                </a:solidFill>
                <a:latin typeface="Calibri"/>
              </a:rPr>
              <a:t> o: (678) 533-1829 c: (770) 354-6772</a:t>
            </a:r>
          </a:p>
          <a:p>
            <a:pPr algn="l" rtl="0">
              <a:defRPr sz="1000"/>
            </a:pPr>
            <a:endParaRPr lang="en-US" sz="115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1033" name="Text Box 9">
            <a:hlinkClick xmlns:r="http://schemas.openxmlformats.org/officeDocument/2006/relationships" r:id="rId4" tooltip="Email Dave Swan"/>
          </xdr:cNvPr>
          <xdr:cNvSpPr txBox="1">
            <a:spLocks noChangeArrowheads="1"/>
          </xdr:cNvSpPr>
        </xdr:nvSpPr>
        <xdr:spPr bwMode="auto">
          <a:xfrm>
            <a:off x="7025640" y="1554480"/>
            <a:ext cx="4114800" cy="457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anchorCtr="0" upright="1"/>
          <a:lstStyle/>
          <a:p>
            <a:pPr algn="l" rtl="0">
              <a:defRPr sz="1000"/>
            </a:pPr>
            <a:r>
              <a:rPr lang="en-US" sz="1150" b="1" i="0" u="none" strike="noStrike" baseline="0">
                <a:solidFill>
                  <a:srgbClr val="033668"/>
                </a:solidFill>
                <a:latin typeface="Calibri"/>
              </a:rPr>
              <a:t>Dave Swan</a:t>
            </a:r>
            <a:r>
              <a:rPr lang="en-US" sz="1050" b="1" i="0" u="none" strike="noStrike" baseline="0">
                <a:solidFill>
                  <a:srgbClr val="033668"/>
                </a:solidFill>
                <a:latin typeface="Calibri"/>
              </a:rPr>
              <a:t>, </a:t>
            </a:r>
            <a:r>
              <a:rPr lang="en-US" sz="1200" b="1" i="1" u="none" strike="noStrike" baseline="0">
                <a:solidFill>
                  <a:srgbClr val="033668"/>
                </a:solidFill>
                <a:latin typeface="Calibri"/>
              </a:rPr>
              <a:t>VP &amp; Underwriting Counsel</a:t>
            </a:r>
            <a:endParaRPr lang="en-US" sz="1150" b="1" i="0" u="none" strike="noStrike" baseline="0">
              <a:solidFill>
                <a:srgbClr val="033668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n-US" sz="1150" b="0" i="0" u="none" strike="noStrike" baseline="0">
                <a:solidFill>
                  <a:sysClr val="windowText" lastClr="000000"/>
                </a:solidFill>
                <a:latin typeface="Calibri"/>
              </a:rPr>
              <a:t>dave.swan@cticga.com</a:t>
            </a:r>
            <a:r>
              <a:rPr lang="en-US" sz="1150" b="0" i="0" u="none" strike="noStrike" baseline="0">
                <a:solidFill>
                  <a:srgbClr val="000000"/>
                </a:solidFill>
                <a:latin typeface="Calibri"/>
              </a:rPr>
              <a:t> o: (404) 419-3238 c: (404) 295-4328</a:t>
            </a:r>
          </a:p>
          <a:p>
            <a:pPr algn="l" rtl="0">
              <a:defRPr sz="1000"/>
            </a:pPr>
            <a:endParaRPr lang="en-US" sz="115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1034" name="Text Box 10">
            <a:hlinkClick xmlns:r="http://schemas.openxmlformats.org/officeDocument/2006/relationships" r:id="rId5" tooltip="Email Michael Cotton"/>
          </xdr:cNvPr>
          <xdr:cNvSpPr txBox="1">
            <a:spLocks noChangeArrowheads="1"/>
          </xdr:cNvSpPr>
        </xdr:nvSpPr>
        <xdr:spPr bwMode="auto">
          <a:xfrm>
            <a:off x="7025640" y="2011680"/>
            <a:ext cx="4114800" cy="457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anchorCtr="0" upright="1"/>
          <a:lstStyle/>
          <a:p>
            <a:pPr algn="l" rtl="0">
              <a:defRPr sz="1000"/>
            </a:pPr>
            <a:r>
              <a:rPr lang="en-US" sz="1150" b="1" i="0" u="none" strike="noStrike" baseline="0">
                <a:solidFill>
                  <a:srgbClr val="033668"/>
                </a:solidFill>
                <a:latin typeface="Calibri"/>
              </a:rPr>
              <a:t>Michael Cotton</a:t>
            </a:r>
            <a:r>
              <a:rPr lang="en-US" sz="1050" b="1" i="0" u="none" strike="noStrike" baseline="0">
                <a:solidFill>
                  <a:srgbClr val="033668"/>
                </a:solidFill>
                <a:latin typeface="Calibri"/>
              </a:rPr>
              <a:t>, </a:t>
            </a:r>
            <a:r>
              <a:rPr lang="en-US" sz="1200" b="1" i="1" u="none" strike="noStrike" baseline="0">
                <a:solidFill>
                  <a:srgbClr val="033668"/>
                </a:solidFill>
                <a:latin typeface="Calibri"/>
              </a:rPr>
              <a:t>AVP &amp; Underwriting Counsel</a:t>
            </a:r>
            <a:endParaRPr lang="en-US" sz="1150" b="1" i="0" u="none" strike="noStrike" baseline="0">
              <a:solidFill>
                <a:srgbClr val="033668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n-US" sz="1150" b="0" i="0" u="none" strike="noStrike" baseline="0">
                <a:solidFill>
                  <a:sysClr val="windowText" lastClr="000000"/>
                </a:solidFill>
                <a:latin typeface="Calibri"/>
              </a:rPr>
              <a:t>michael.cotton@cticga.com</a:t>
            </a:r>
            <a:r>
              <a:rPr lang="en-US" sz="1150" b="0" i="0" u="none" strike="noStrike" baseline="0">
                <a:solidFill>
                  <a:srgbClr val="000000"/>
                </a:solidFill>
                <a:latin typeface="Calibri"/>
              </a:rPr>
              <a:t> o: (404) 419-3228 c: (470) 303-8795</a:t>
            </a:r>
          </a:p>
          <a:p>
            <a:pPr algn="l" rtl="0">
              <a:defRPr sz="1000"/>
            </a:pPr>
            <a:endParaRPr lang="en-US" sz="115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1035" name="Text Box 11">
            <a:hlinkClick xmlns:r="http://schemas.openxmlformats.org/officeDocument/2006/relationships" r:id="rId6" tooltip="Email Rhee McCallum"/>
          </xdr:cNvPr>
          <xdr:cNvSpPr txBox="1">
            <a:spLocks noChangeArrowheads="1"/>
          </xdr:cNvSpPr>
        </xdr:nvSpPr>
        <xdr:spPr bwMode="auto">
          <a:xfrm>
            <a:off x="7025640" y="2468880"/>
            <a:ext cx="4114800" cy="457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anchorCtr="0" upright="1"/>
          <a:lstStyle/>
          <a:p>
            <a:pPr algn="l" rtl="0">
              <a:defRPr sz="1000"/>
            </a:pPr>
            <a:r>
              <a:rPr lang="en-US" sz="1150" b="1" i="0" u="none" strike="noStrike" baseline="0">
                <a:solidFill>
                  <a:srgbClr val="033668"/>
                </a:solidFill>
                <a:latin typeface="Calibri"/>
              </a:rPr>
              <a:t>Rhee McCallum</a:t>
            </a:r>
            <a:r>
              <a:rPr lang="en-US" sz="1050" b="1" i="0" u="none" strike="noStrike" baseline="0">
                <a:solidFill>
                  <a:srgbClr val="033668"/>
                </a:solidFill>
                <a:latin typeface="Calibri"/>
              </a:rPr>
              <a:t>, </a:t>
            </a:r>
            <a:r>
              <a:rPr lang="en-US" sz="1200" b="1" i="1" u="none" strike="noStrike" baseline="0">
                <a:solidFill>
                  <a:srgbClr val="033668"/>
                </a:solidFill>
                <a:latin typeface="Calibri"/>
              </a:rPr>
              <a:t>Associate Underwriter</a:t>
            </a:r>
            <a:endParaRPr lang="en-US" sz="1150" b="1" i="0" u="none" strike="noStrike" baseline="0">
              <a:solidFill>
                <a:srgbClr val="033668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n-US" sz="1150" b="0" i="0" u="none" strike="noStrike" baseline="0">
                <a:solidFill>
                  <a:sysClr val="windowText" lastClr="000000"/>
                </a:solidFill>
                <a:latin typeface="Calibri"/>
              </a:rPr>
              <a:t>rhee.mccallum@cticga.com</a:t>
            </a:r>
            <a:r>
              <a:rPr lang="en-US" sz="1150" b="0" i="0" u="none" strike="noStrike" baseline="0">
                <a:solidFill>
                  <a:srgbClr val="000000"/>
                </a:solidFill>
                <a:latin typeface="Calibri"/>
              </a:rPr>
              <a:t> o: (404) 419-3223 c: (404) 416-5187</a:t>
            </a:r>
          </a:p>
          <a:p>
            <a:pPr algn="l" rtl="0">
              <a:defRPr sz="1000"/>
            </a:pPr>
            <a:endParaRPr lang="en-US" sz="115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1036" name="Text Box 12">
            <a:hlinkClick xmlns:r="http://schemas.openxmlformats.org/officeDocument/2006/relationships" r:id="rId7" tooltip="Email Susan Vander Meer"/>
          </xdr:cNvPr>
          <xdr:cNvSpPr txBox="1">
            <a:spLocks noChangeArrowheads="1"/>
          </xdr:cNvSpPr>
        </xdr:nvSpPr>
        <xdr:spPr bwMode="auto">
          <a:xfrm>
            <a:off x="7025640" y="2926080"/>
            <a:ext cx="4114800" cy="457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anchorCtr="0" upright="1"/>
          <a:lstStyle/>
          <a:p>
            <a:pPr algn="l" rtl="0">
              <a:defRPr sz="1000"/>
            </a:pPr>
            <a:r>
              <a:rPr lang="en-US" sz="1150" b="1" i="0" u="none" strike="noStrike" baseline="0">
                <a:solidFill>
                  <a:srgbClr val="033668"/>
                </a:solidFill>
                <a:latin typeface="Calibri"/>
              </a:rPr>
              <a:t>Susan Vander Meer</a:t>
            </a:r>
            <a:r>
              <a:rPr lang="en-US" sz="1050" b="1" i="0" u="none" strike="noStrike" baseline="0">
                <a:solidFill>
                  <a:srgbClr val="033668"/>
                </a:solidFill>
                <a:latin typeface="Calibri"/>
              </a:rPr>
              <a:t>, </a:t>
            </a:r>
            <a:r>
              <a:rPr lang="en-US" sz="1200" b="1" i="1" u="none" strike="noStrike" baseline="0">
                <a:solidFill>
                  <a:srgbClr val="033668"/>
                </a:solidFill>
                <a:latin typeface="Calibri"/>
              </a:rPr>
              <a:t>AVP &amp; Title Production and Escrow Manager </a:t>
            </a:r>
            <a:r>
              <a:rPr lang="en-US" sz="1150" b="0" i="0" u="none" strike="noStrike" baseline="0">
                <a:solidFill>
                  <a:sysClr val="windowText" lastClr="000000"/>
                </a:solidFill>
                <a:latin typeface="Calibri"/>
              </a:rPr>
              <a:t>susan.vandermeer@cticga.com</a:t>
            </a:r>
            <a:r>
              <a:rPr lang="en-US" sz="1150" b="0" i="0" u="none" strike="noStrike" baseline="0">
                <a:solidFill>
                  <a:srgbClr val="000000"/>
                </a:solidFill>
                <a:latin typeface="Calibri"/>
              </a:rPr>
              <a:t> o: (770) 325-4810 c: (678) 580-7497</a:t>
            </a:r>
            <a:endParaRPr lang="en-US" sz="1150" b="1" i="0" u="none" strike="noStrike" baseline="0">
              <a:solidFill>
                <a:srgbClr val="033668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150" b="1" i="0" u="none" strike="noStrike" baseline="0">
              <a:solidFill>
                <a:srgbClr val="033668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563880</xdr:colOff>
      <xdr:row>0</xdr:row>
      <xdr:rowOff>0</xdr:rowOff>
    </xdr:from>
    <xdr:to>
      <xdr:col>5</xdr:col>
      <xdr:colOff>2644140</xdr:colOff>
      <xdr:row>23</xdr:row>
      <xdr:rowOff>190500</xdr:rowOff>
    </xdr:to>
    <xdr:sp macro="" textlink="">
      <xdr:nvSpPr>
        <xdr:cNvPr id="2" name="Rectangle 1"/>
        <xdr:cNvSpPr/>
      </xdr:nvSpPr>
      <xdr:spPr>
        <a:xfrm>
          <a:off x="4206240" y="0"/>
          <a:ext cx="2080260" cy="4762500"/>
        </a:xfrm>
        <a:prstGeom prst="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3</xdr:col>
      <xdr:colOff>1341120</xdr:colOff>
      <xdr:row>0</xdr:row>
      <xdr:rowOff>0</xdr:rowOff>
    </xdr:from>
    <xdr:to>
      <xdr:col>5</xdr:col>
      <xdr:colOff>1531620</xdr:colOff>
      <xdr:row>23</xdr:row>
      <xdr:rowOff>190500</xdr:rowOff>
    </xdr:to>
    <xdr:sp macro="" textlink="">
      <xdr:nvSpPr>
        <xdr:cNvPr id="3" name="Isosceles Triangle 2"/>
        <xdr:cNvSpPr/>
      </xdr:nvSpPr>
      <xdr:spPr>
        <a:xfrm rot="10800000">
          <a:off x="3368040" y="0"/>
          <a:ext cx="1805940" cy="4762500"/>
        </a:xfrm>
        <a:prstGeom prst="triangle">
          <a:avLst>
            <a:gd name="adj" fmla="val 54376"/>
          </a:avLst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4</xdr:col>
      <xdr:colOff>220980</xdr:colOff>
      <xdr:row>2</xdr:row>
      <xdr:rowOff>175260</xdr:rowOff>
    </xdr:from>
    <xdr:to>
      <xdr:col>5</xdr:col>
      <xdr:colOff>2596335</xdr:colOff>
      <xdr:row>7</xdr:row>
      <xdr:rowOff>15240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4260" y="571500"/>
          <a:ext cx="2634435" cy="73914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5</xdr:col>
      <xdr:colOff>2255520</xdr:colOff>
      <xdr:row>5</xdr:row>
      <xdr:rowOff>106680</xdr:rowOff>
    </xdr:to>
    <xdr:sp macro="" textlink="">
      <xdr:nvSpPr>
        <xdr:cNvPr id="5" name="Isosceles Triangle 4"/>
        <xdr:cNvSpPr/>
      </xdr:nvSpPr>
      <xdr:spPr>
        <a:xfrm rot="10800000">
          <a:off x="0" y="0"/>
          <a:ext cx="5897880" cy="1036320"/>
        </a:xfrm>
        <a:prstGeom prst="triangle">
          <a:avLst>
            <a:gd name="adj" fmla="val 100000"/>
          </a:avLst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</xdr:col>
      <xdr:colOff>0</xdr:colOff>
      <xdr:row>0</xdr:row>
      <xdr:rowOff>182880</xdr:rowOff>
    </xdr:from>
    <xdr:to>
      <xdr:col>3</xdr:col>
      <xdr:colOff>457200</xdr:colOff>
      <xdr:row>2</xdr:row>
      <xdr:rowOff>175260</xdr:rowOff>
    </xdr:to>
    <xdr:sp macro="" textlink="">
      <xdr:nvSpPr>
        <xdr:cNvPr id="6" name="TextBox 5"/>
        <xdr:cNvSpPr txBox="1"/>
      </xdr:nvSpPr>
      <xdr:spPr>
        <a:xfrm>
          <a:off x="259080" y="182880"/>
          <a:ext cx="2225040" cy="388620"/>
        </a:xfrm>
        <a:prstGeom prst="rect">
          <a:avLst/>
        </a:prstGeom>
        <a:solidFill>
          <a:srgbClr val="FFC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US" sz="2000" b="1">
              <a:solidFill>
                <a:schemeClr val="tx2">
                  <a:lumMod val="75000"/>
                </a:schemeClr>
              </a:solidFill>
            </a:rPr>
            <a:t>COMMERCIAL RATES</a:t>
          </a:r>
        </a:p>
      </xdr:txBody>
    </xdr:sp>
    <xdr:clientData/>
  </xdr:twoCellAnchor>
  <xdr:twoCellAnchor>
    <xdr:from>
      <xdr:col>5</xdr:col>
      <xdr:colOff>678180</xdr:colOff>
      <xdr:row>18</xdr:row>
      <xdr:rowOff>76200</xdr:rowOff>
    </xdr:from>
    <xdr:to>
      <xdr:col>5</xdr:col>
      <xdr:colOff>2651760</xdr:colOff>
      <xdr:row>23</xdr:row>
      <xdr:rowOff>38100</xdr:rowOff>
    </xdr:to>
    <xdr:sp macro="" textlink="">
      <xdr:nvSpPr>
        <xdr:cNvPr id="7" name="TextBox 6"/>
        <xdr:cNvSpPr txBox="1"/>
      </xdr:nvSpPr>
      <xdr:spPr>
        <a:xfrm>
          <a:off x="4320540" y="3680460"/>
          <a:ext cx="1973580" cy="937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b="0">
              <a:solidFill>
                <a:schemeClr val="bg1"/>
              </a:solidFill>
            </a:rPr>
            <a:t>4170 Ashford Dunwoody Road</a:t>
          </a:r>
        </a:p>
        <a:p>
          <a:pPr algn="r"/>
          <a:r>
            <a:rPr lang="en-US" sz="1100" b="0">
              <a:solidFill>
                <a:schemeClr val="bg1"/>
              </a:solidFill>
            </a:rPr>
            <a:t>Suite 460</a:t>
          </a:r>
        </a:p>
        <a:p>
          <a:pPr algn="r"/>
          <a:r>
            <a:rPr lang="en-US" sz="1100" b="0">
              <a:solidFill>
                <a:schemeClr val="bg1"/>
              </a:solidFill>
            </a:rPr>
            <a:t>Atlanta, GA 30319</a:t>
          </a:r>
        </a:p>
        <a:p>
          <a:pPr algn="r"/>
          <a:r>
            <a:rPr lang="en-US" sz="1100" b="1">
              <a:solidFill>
                <a:schemeClr val="bg1"/>
              </a:solidFill>
            </a:rPr>
            <a:t>Main 404.</a:t>
          </a:r>
          <a:r>
            <a:rPr lang="en-US" sz="1100" b="1" baseline="0">
              <a:solidFill>
                <a:schemeClr val="bg1"/>
              </a:solidFill>
            </a:rPr>
            <a:t>303.6300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7</xdr:col>
      <xdr:colOff>15240</xdr:colOff>
      <xdr:row>0</xdr:row>
      <xdr:rowOff>190500</xdr:rowOff>
    </xdr:from>
    <xdr:to>
      <xdr:col>8</xdr:col>
      <xdr:colOff>7620</xdr:colOff>
      <xdr:row>14</xdr:row>
      <xdr:rowOff>160020</xdr:rowOff>
    </xdr:to>
    <xdr:grpSp>
      <xdr:nvGrpSpPr>
        <xdr:cNvPr id="8" name="Group 7"/>
        <xdr:cNvGrpSpPr/>
      </xdr:nvGrpSpPr>
      <xdr:grpSpPr>
        <a:xfrm>
          <a:off x="6520815" y="190500"/>
          <a:ext cx="4002405" cy="2731770"/>
          <a:chOff x="7025640" y="640080"/>
          <a:chExt cx="4114800" cy="2743200"/>
        </a:xfrm>
      </xdr:grpSpPr>
      <xdr:sp macro="" textlink="">
        <xdr:nvSpPr>
          <xdr:cNvPr id="10" name="Text Box 7">
            <a:hlinkClick xmlns:r="http://schemas.openxmlformats.org/officeDocument/2006/relationships" r:id="rId2" tooltip="Email Hilary Fentress"/>
          </xdr:cNvPr>
          <xdr:cNvSpPr txBox="1">
            <a:spLocks noChangeArrowheads="1"/>
          </xdr:cNvSpPr>
        </xdr:nvSpPr>
        <xdr:spPr bwMode="auto">
          <a:xfrm>
            <a:off x="7025640" y="640080"/>
            <a:ext cx="4114800" cy="457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anchorCtr="0" upright="1"/>
          <a:lstStyle/>
          <a:p>
            <a:pPr algn="l" rtl="0">
              <a:defRPr sz="1000"/>
            </a:pPr>
            <a:r>
              <a:rPr lang="en-US" sz="1150" b="1" i="0" u="none" strike="noStrike" baseline="0">
                <a:solidFill>
                  <a:srgbClr val="033668"/>
                </a:solidFill>
                <a:latin typeface="Calibri"/>
              </a:rPr>
              <a:t>Hilary Fentress</a:t>
            </a:r>
            <a:r>
              <a:rPr lang="en-US" sz="1050" b="1" i="0" u="none" strike="noStrike" baseline="0">
                <a:solidFill>
                  <a:srgbClr val="033668"/>
                </a:solidFill>
                <a:latin typeface="Calibri"/>
              </a:rPr>
              <a:t>, </a:t>
            </a:r>
            <a:r>
              <a:rPr lang="en-US" sz="1200" b="1" i="1" u="none" strike="noStrike" baseline="0">
                <a:solidFill>
                  <a:srgbClr val="033668"/>
                </a:solidFill>
                <a:latin typeface="Calibri"/>
              </a:rPr>
              <a:t>VP &amp; Georgia State Counsel</a:t>
            </a:r>
            <a:endParaRPr lang="en-US" sz="1150" b="1" i="0" u="none" strike="noStrike" baseline="0">
              <a:solidFill>
                <a:srgbClr val="033668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Calibri"/>
              </a:rPr>
              <a:t>hilary.fentress@cticga.com o: (404) 419-3226 c: (404) 353-8147</a:t>
            </a:r>
          </a:p>
          <a:p>
            <a:pPr algn="l" rtl="0">
              <a:defRPr sz="1000"/>
            </a:pPr>
            <a:endParaRPr lang="en-US" sz="115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11" name="Text Box 8">
            <a:hlinkClick xmlns:r="http://schemas.openxmlformats.org/officeDocument/2006/relationships" r:id="rId3" tooltip="Email David Gordon"/>
          </xdr:cNvPr>
          <xdr:cNvSpPr txBox="1">
            <a:spLocks noChangeArrowheads="1"/>
          </xdr:cNvSpPr>
        </xdr:nvSpPr>
        <xdr:spPr bwMode="auto">
          <a:xfrm>
            <a:off x="7025640" y="1097280"/>
            <a:ext cx="4114800" cy="457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anchorCtr="0" upright="1"/>
          <a:lstStyle/>
          <a:p>
            <a:pPr algn="l" rtl="0">
              <a:defRPr sz="1000"/>
            </a:pPr>
            <a:r>
              <a:rPr lang="en-US" sz="1150" b="1" i="0" u="none" strike="noStrike" baseline="0">
                <a:solidFill>
                  <a:srgbClr val="033668"/>
                </a:solidFill>
                <a:latin typeface="Calibri"/>
              </a:rPr>
              <a:t>David Gordon</a:t>
            </a:r>
            <a:r>
              <a:rPr lang="en-US" sz="1050" b="1" i="0" u="none" strike="noStrike" baseline="0">
                <a:solidFill>
                  <a:srgbClr val="033668"/>
                </a:solidFill>
                <a:latin typeface="Calibri"/>
              </a:rPr>
              <a:t>, </a:t>
            </a:r>
            <a:r>
              <a:rPr lang="en-US" sz="1200" b="1" i="1" u="none" strike="noStrike" baseline="0">
                <a:solidFill>
                  <a:srgbClr val="033668"/>
                </a:solidFill>
                <a:latin typeface="Calibri"/>
              </a:rPr>
              <a:t>VP &amp; Underwriting Counsel</a:t>
            </a:r>
            <a:endParaRPr lang="en-US" sz="1150" b="1" i="0" u="none" strike="noStrike" baseline="0">
              <a:solidFill>
                <a:srgbClr val="033668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n-US" sz="1150" b="0" i="0" u="none" strike="noStrike" baseline="0">
                <a:solidFill>
                  <a:sysClr val="windowText" lastClr="000000"/>
                </a:solidFill>
                <a:latin typeface="Calibri"/>
              </a:rPr>
              <a:t>david.gordon@cticga.com</a:t>
            </a:r>
            <a:r>
              <a:rPr lang="en-US" sz="1150" b="0" i="0" u="none" strike="noStrike" baseline="0">
                <a:solidFill>
                  <a:srgbClr val="000000"/>
                </a:solidFill>
                <a:latin typeface="Calibri"/>
              </a:rPr>
              <a:t> o: (678) 533-1829 c: (770) 354-6772</a:t>
            </a:r>
          </a:p>
          <a:p>
            <a:pPr algn="l" rtl="0">
              <a:defRPr sz="1000"/>
            </a:pPr>
            <a:endParaRPr lang="en-US" sz="115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12" name="Text Box 9">
            <a:hlinkClick xmlns:r="http://schemas.openxmlformats.org/officeDocument/2006/relationships" r:id="rId4" tooltip="Email Dave Swan"/>
          </xdr:cNvPr>
          <xdr:cNvSpPr txBox="1">
            <a:spLocks noChangeArrowheads="1"/>
          </xdr:cNvSpPr>
        </xdr:nvSpPr>
        <xdr:spPr bwMode="auto">
          <a:xfrm>
            <a:off x="7025640" y="1554480"/>
            <a:ext cx="4114800" cy="457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anchorCtr="0" upright="1"/>
          <a:lstStyle/>
          <a:p>
            <a:pPr algn="l" rtl="0">
              <a:defRPr sz="1000"/>
            </a:pPr>
            <a:r>
              <a:rPr lang="en-US" sz="1150" b="1" i="0" u="none" strike="noStrike" baseline="0">
                <a:solidFill>
                  <a:srgbClr val="033668"/>
                </a:solidFill>
                <a:latin typeface="Calibri"/>
              </a:rPr>
              <a:t>Dave Swan</a:t>
            </a:r>
            <a:r>
              <a:rPr lang="en-US" sz="1050" b="1" i="0" u="none" strike="noStrike" baseline="0">
                <a:solidFill>
                  <a:srgbClr val="033668"/>
                </a:solidFill>
                <a:latin typeface="Calibri"/>
              </a:rPr>
              <a:t>, </a:t>
            </a:r>
            <a:r>
              <a:rPr lang="en-US" sz="1200" b="1" i="1" u="none" strike="noStrike" baseline="0">
                <a:solidFill>
                  <a:srgbClr val="033668"/>
                </a:solidFill>
                <a:latin typeface="Calibri"/>
              </a:rPr>
              <a:t>VP &amp; Underwriting Counsel</a:t>
            </a:r>
            <a:endParaRPr lang="en-US" sz="1150" b="1" i="0" u="none" strike="noStrike" baseline="0">
              <a:solidFill>
                <a:srgbClr val="033668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n-US" sz="1150" b="0" i="0" u="none" strike="noStrike" baseline="0">
                <a:solidFill>
                  <a:sysClr val="windowText" lastClr="000000"/>
                </a:solidFill>
                <a:latin typeface="Calibri"/>
              </a:rPr>
              <a:t>dave.swan@cticga.com</a:t>
            </a:r>
            <a:r>
              <a:rPr lang="en-US" sz="1150" b="0" i="0" u="none" strike="noStrike" baseline="0">
                <a:solidFill>
                  <a:srgbClr val="000000"/>
                </a:solidFill>
                <a:latin typeface="Calibri"/>
              </a:rPr>
              <a:t> o: (404) 419-3238 c: (404) 295-4328</a:t>
            </a:r>
          </a:p>
          <a:p>
            <a:pPr algn="l" rtl="0">
              <a:defRPr sz="1000"/>
            </a:pPr>
            <a:endParaRPr lang="en-US" sz="115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13" name="Text Box 10">
            <a:hlinkClick xmlns:r="http://schemas.openxmlformats.org/officeDocument/2006/relationships" r:id="rId5" tooltip="Email Michael Cotton"/>
          </xdr:cNvPr>
          <xdr:cNvSpPr txBox="1">
            <a:spLocks noChangeArrowheads="1"/>
          </xdr:cNvSpPr>
        </xdr:nvSpPr>
        <xdr:spPr bwMode="auto">
          <a:xfrm>
            <a:off x="7025640" y="2011680"/>
            <a:ext cx="4114800" cy="457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anchorCtr="0" upright="1"/>
          <a:lstStyle/>
          <a:p>
            <a:pPr algn="l" rtl="0">
              <a:defRPr sz="1000"/>
            </a:pPr>
            <a:r>
              <a:rPr lang="en-US" sz="1150" b="1" i="0" u="none" strike="noStrike" baseline="0">
                <a:solidFill>
                  <a:srgbClr val="033668"/>
                </a:solidFill>
                <a:latin typeface="Calibri"/>
              </a:rPr>
              <a:t>Michael Cotton</a:t>
            </a:r>
            <a:r>
              <a:rPr lang="en-US" sz="1050" b="1" i="0" u="none" strike="noStrike" baseline="0">
                <a:solidFill>
                  <a:srgbClr val="033668"/>
                </a:solidFill>
                <a:latin typeface="Calibri"/>
              </a:rPr>
              <a:t>, </a:t>
            </a:r>
            <a:r>
              <a:rPr lang="en-US" sz="1200" b="1" i="1" u="none" strike="noStrike" baseline="0">
                <a:solidFill>
                  <a:srgbClr val="033668"/>
                </a:solidFill>
                <a:latin typeface="Calibri"/>
              </a:rPr>
              <a:t>AVP &amp; Underwriting Counsel</a:t>
            </a:r>
            <a:endParaRPr lang="en-US" sz="1150" b="1" i="0" u="none" strike="noStrike" baseline="0">
              <a:solidFill>
                <a:srgbClr val="033668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n-US" sz="1150" b="0" i="0" u="none" strike="noStrike" baseline="0">
                <a:solidFill>
                  <a:sysClr val="windowText" lastClr="000000"/>
                </a:solidFill>
                <a:latin typeface="Calibri"/>
              </a:rPr>
              <a:t>michael.cotton@cticga.com</a:t>
            </a:r>
            <a:r>
              <a:rPr lang="en-US" sz="1150" b="0" i="0" u="none" strike="noStrike" baseline="0">
                <a:solidFill>
                  <a:srgbClr val="000000"/>
                </a:solidFill>
                <a:latin typeface="Calibri"/>
              </a:rPr>
              <a:t> o: (404) 419-3228 c: (470) 303-8795</a:t>
            </a:r>
          </a:p>
          <a:p>
            <a:pPr algn="l" rtl="0">
              <a:defRPr sz="1000"/>
            </a:pPr>
            <a:endParaRPr lang="en-US" sz="115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14" name="Text Box 11">
            <a:hlinkClick xmlns:r="http://schemas.openxmlformats.org/officeDocument/2006/relationships" r:id="rId6" tooltip="Email Rhee McCallum"/>
          </xdr:cNvPr>
          <xdr:cNvSpPr txBox="1">
            <a:spLocks noChangeArrowheads="1"/>
          </xdr:cNvSpPr>
        </xdr:nvSpPr>
        <xdr:spPr bwMode="auto">
          <a:xfrm>
            <a:off x="7025640" y="2468880"/>
            <a:ext cx="4114800" cy="457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anchorCtr="0" upright="1"/>
          <a:lstStyle/>
          <a:p>
            <a:pPr algn="l" rtl="0">
              <a:defRPr sz="1000"/>
            </a:pPr>
            <a:r>
              <a:rPr lang="en-US" sz="1150" b="1" i="0" u="none" strike="noStrike" baseline="0">
                <a:solidFill>
                  <a:srgbClr val="033668"/>
                </a:solidFill>
                <a:latin typeface="Calibri"/>
              </a:rPr>
              <a:t>Rhee McCallum</a:t>
            </a:r>
            <a:r>
              <a:rPr lang="en-US" sz="1050" b="1" i="0" u="none" strike="noStrike" baseline="0">
                <a:solidFill>
                  <a:srgbClr val="033668"/>
                </a:solidFill>
                <a:latin typeface="Calibri"/>
              </a:rPr>
              <a:t>, </a:t>
            </a:r>
            <a:r>
              <a:rPr lang="en-US" sz="1200" b="1" i="1" u="none" strike="noStrike" baseline="0">
                <a:solidFill>
                  <a:srgbClr val="033668"/>
                </a:solidFill>
                <a:latin typeface="Calibri"/>
              </a:rPr>
              <a:t>Associate Underwriter</a:t>
            </a:r>
            <a:endParaRPr lang="en-US" sz="1150" b="1" i="0" u="none" strike="noStrike" baseline="0">
              <a:solidFill>
                <a:srgbClr val="033668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n-US" sz="1150" b="0" i="0" u="none" strike="noStrike" baseline="0">
                <a:solidFill>
                  <a:sysClr val="windowText" lastClr="000000"/>
                </a:solidFill>
                <a:latin typeface="Calibri"/>
              </a:rPr>
              <a:t>rhee.mccallum@cticga.com</a:t>
            </a:r>
            <a:r>
              <a:rPr lang="en-US" sz="1150" b="0" i="0" u="none" strike="noStrike" baseline="0">
                <a:solidFill>
                  <a:srgbClr val="000000"/>
                </a:solidFill>
                <a:latin typeface="Calibri"/>
              </a:rPr>
              <a:t> o: (404) 419-3223 c: (404) 416-5187</a:t>
            </a:r>
          </a:p>
          <a:p>
            <a:pPr algn="l" rtl="0">
              <a:defRPr sz="1000"/>
            </a:pPr>
            <a:endParaRPr lang="en-US" sz="115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15" name="Text Box 12">
            <a:hlinkClick xmlns:r="http://schemas.openxmlformats.org/officeDocument/2006/relationships" r:id="rId7" tooltip="Email Susan Vander Meer"/>
          </xdr:cNvPr>
          <xdr:cNvSpPr txBox="1">
            <a:spLocks noChangeArrowheads="1"/>
          </xdr:cNvSpPr>
        </xdr:nvSpPr>
        <xdr:spPr bwMode="auto">
          <a:xfrm>
            <a:off x="7025640" y="2926080"/>
            <a:ext cx="4114800" cy="457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anchorCtr="0" upright="1"/>
          <a:lstStyle/>
          <a:p>
            <a:pPr algn="l" rtl="0">
              <a:defRPr sz="1000"/>
            </a:pPr>
            <a:r>
              <a:rPr lang="en-US" sz="1150" b="1" i="0" u="none" strike="noStrike" baseline="0">
                <a:solidFill>
                  <a:srgbClr val="033668"/>
                </a:solidFill>
                <a:latin typeface="Calibri"/>
              </a:rPr>
              <a:t>Susan Vander Meer</a:t>
            </a:r>
            <a:r>
              <a:rPr lang="en-US" sz="1050" b="1" i="0" u="none" strike="noStrike" baseline="0">
                <a:solidFill>
                  <a:srgbClr val="033668"/>
                </a:solidFill>
                <a:latin typeface="Calibri"/>
              </a:rPr>
              <a:t>, </a:t>
            </a:r>
            <a:r>
              <a:rPr lang="en-US" sz="1200" b="1" i="1" u="none" strike="noStrike" baseline="0">
                <a:solidFill>
                  <a:srgbClr val="033668"/>
                </a:solidFill>
                <a:latin typeface="Calibri"/>
              </a:rPr>
              <a:t>AVP &amp; Title Production and Escrow Manager </a:t>
            </a:r>
            <a:r>
              <a:rPr lang="en-US" sz="1150" b="0" i="0" u="none" strike="noStrike" baseline="0">
                <a:solidFill>
                  <a:sysClr val="windowText" lastClr="000000"/>
                </a:solidFill>
                <a:latin typeface="Calibri"/>
              </a:rPr>
              <a:t>susan.vandermeer@cticga.com</a:t>
            </a:r>
            <a:r>
              <a:rPr lang="en-US" sz="1150" b="0" i="0" u="none" strike="noStrike" baseline="0">
                <a:solidFill>
                  <a:srgbClr val="000000"/>
                </a:solidFill>
                <a:latin typeface="Calibri"/>
              </a:rPr>
              <a:t> o: (770) 325-4810 c: (678) 580-7497</a:t>
            </a:r>
            <a:endParaRPr lang="en-US" sz="1150" b="1" i="0" u="none" strike="noStrike" baseline="0">
              <a:solidFill>
                <a:srgbClr val="033668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150" b="1" i="0" u="none" strike="noStrike" baseline="0">
              <a:solidFill>
                <a:srgbClr val="033668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3238500</xdr:colOff>
      <xdr:row>88</xdr:row>
      <xdr:rowOff>47626</xdr:rowOff>
    </xdr:from>
    <xdr:to>
      <xdr:col>8</xdr:col>
      <xdr:colOff>557813</xdr:colOff>
      <xdr:row>96</xdr:row>
      <xdr:rowOff>123826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4535151"/>
          <a:ext cx="3232433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24"/>
  <sheetViews>
    <sheetView showGridLines="0" showRowColHeaders="0" tabSelected="1" zoomScaleNormal="100" workbookViewId="0">
      <selection activeCell="C8" sqref="C8:D8"/>
    </sheetView>
  </sheetViews>
  <sheetFormatPr defaultColWidth="9.140625" defaultRowHeight="15.75" x14ac:dyDescent="0.2"/>
  <cols>
    <col min="1" max="1" width="3.7109375" style="15" customWidth="1"/>
    <col min="2" max="2" width="15.85546875" style="15" customWidth="1"/>
    <col min="3" max="3" width="9.85546875" style="15" customWidth="1"/>
    <col min="4" max="4" width="19.7109375" style="15" customWidth="1"/>
    <col min="5" max="5" width="3.7109375" style="15" customWidth="1"/>
    <col min="6" max="6" width="39.28515625" style="15" customWidth="1"/>
    <col min="7" max="7" width="5.42578125" style="15" customWidth="1"/>
    <col min="8" max="8" width="60.140625" style="15" customWidth="1"/>
    <col min="9" max="16384" width="9.140625" style="15"/>
  </cols>
  <sheetData>
    <row r="1" spans="1:8" x14ac:dyDescent="0.2">
      <c r="H1" s="63" t="s">
        <v>72</v>
      </c>
    </row>
    <row r="5" spans="1:8" ht="10.9" customHeight="1" x14ac:dyDescent="0.2">
      <c r="A5" s="111"/>
      <c r="B5" s="111"/>
      <c r="C5" s="111"/>
      <c r="D5" s="111"/>
      <c r="E5" s="111"/>
    </row>
    <row r="6" spans="1:8" ht="18" customHeight="1" x14ac:dyDescent="0.2">
      <c r="B6" s="119" t="str">
        <f>"Rates Effective " &amp;'R-Tables'!F2</f>
        <v>Rates Effective November 1, 2017</v>
      </c>
      <c r="C6" s="119"/>
      <c r="D6" s="119"/>
      <c r="E6" s="47"/>
    </row>
    <row r="7" spans="1:8" ht="10.9" customHeight="1" x14ac:dyDescent="0.2"/>
    <row r="8" spans="1:8" ht="18" customHeight="1" x14ac:dyDescent="0.2">
      <c r="B8" s="50" t="s">
        <v>44</v>
      </c>
      <c r="C8" s="115" t="s">
        <v>36</v>
      </c>
      <c r="D8" s="115"/>
      <c r="E8" s="55">
        <f>IF(C8="Cash Sale (OTP Only)",1,IF(C8="Sale with Loan (OTP &amp; LTP)",2,IF(C8="Refinance (LTP Only)",3,0)))</f>
        <v>0</v>
      </c>
    </row>
    <row r="9" spans="1:8" ht="10.9" customHeight="1" x14ac:dyDescent="0.2">
      <c r="E9" s="55"/>
    </row>
    <row r="10" spans="1:8" ht="18" customHeight="1" x14ac:dyDescent="0.2">
      <c r="B10" s="114" t="s">
        <v>42</v>
      </c>
      <c r="C10" s="114"/>
      <c r="D10" s="52"/>
      <c r="E10" s="56"/>
    </row>
    <row r="11" spans="1:8" ht="18" customHeight="1" x14ac:dyDescent="0.2">
      <c r="B11" s="114" t="s">
        <v>43</v>
      </c>
      <c r="C11" s="114"/>
      <c r="D11" s="52"/>
      <c r="E11" s="56"/>
    </row>
    <row r="12" spans="1:8" ht="10.9" customHeight="1" x14ac:dyDescent="0.2">
      <c r="E12" s="55"/>
    </row>
    <row r="13" spans="1:8" ht="18" customHeight="1" x14ac:dyDescent="0.2">
      <c r="B13" s="51" t="s">
        <v>45</v>
      </c>
      <c r="C13" s="116" t="s">
        <v>36</v>
      </c>
      <c r="D13" s="116"/>
      <c r="E13" s="55">
        <f>IF(OR(E8=0,E8=3),0,IF(C13="Enhanced (Homeowner's)",10,IF(C13="Basic",20,30)))</f>
        <v>0</v>
      </c>
    </row>
    <row r="14" spans="1:8" ht="22.9" customHeight="1" thickBot="1" x14ac:dyDescent="0.3">
      <c r="B14" s="118" t="s">
        <v>51</v>
      </c>
      <c r="C14" s="118"/>
      <c r="D14" s="118"/>
      <c r="E14" s="57">
        <f>E8+E13</f>
        <v>0</v>
      </c>
    </row>
    <row r="15" spans="1:8" ht="18" customHeight="1" x14ac:dyDescent="0.2">
      <c r="B15" s="64" t="s">
        <v>39</v>
      </c>
      <c r="C15" s="73" t="str">
        <f>IF(E13=10,"(Enhanced)",IF(E13=20,"(Basic)",""))</f>
        <v/>
      </c>
      <c r="D15" s="74" t="str">
        <f>IF(E14=11,'R-Rates'!C23,IF(E14=21,'R-Rates'!C22,IF(E14=12,'R-Rates'!C8,IF(E14=22,'R-Rates'!C7,""))))</f>
        <v/>
      </c>
      <c r="E15" s="55">
        <f>IF(OR(E14=31,E14=32),0,1)</f>
        <v>1</v>
      </c>
    </row>
    <row r="16" spans="1:8" ht="18" customHeight="1" x14ac:dyDescent="0.2">
      <c r="B16" s="112" t="s">
        <v>2</v>
      </c>
      <c r="C16" s="113"/>
      <c r="D16" s="75" t="str">
        <f>IF(OR(E14=12,E14=22),'R-Rates'!C6,IF(E14=3,'R-Rates'!C20,""))</f>
        <v/>
      </c>
    </row>
    <row r="17" spans="2:5" ht="19.5" thickBot="1" x14ac:dyDescent="0.25">
      <c r="B17" s="76"/>
      <c r="C17" s="72" t="s">
        <v>5</v>
      </c>
      <c r="D17" s="77">
        <f>SUM(D15:D16)</f>
        <v>0</v>
      </c>
    </row>
    <row r="18" spans="2:5" ht="10.9" customHeight="1" x14ac:dyDescent="0.2">
      <c r="B18" s="18"/>
      <c r="C18" s="17"/>
      <c r="D18" s="16"/>
    </row>
    <row r="19" spans="2:5" ht="16.5" thickBot="1" x14ac:dyDescent="0.25">
      <c r="B19" s="117" t="s">
        <v>52</v>
      </c>
      <c r="C19" s="117"/>
      <c r="D19" s="117"/>
      <c r="E19" s="117"/>
    </row>
    <row r="20" spans="2:5" ht="18" customHeight="1" x14ac:dyDescent="0.2">
      <c r="B20" s="64" t="s">
        <v>39</v>
      </c>
      <c r="C20" s="65" t="str">
        <f>IF(E13=10,"(Enhanced)",IF(E13=20,"(Basic)",""))</f>
        <v/>
      </c>
      <c r="D20" s="74" t="str">
        <f>IF(E14=12,'R-Rates'!C13,IF(E14=22,'R-Rates'!C12,""))</f>
        <v/>
      </c>
    </row>
    <row r="21" spans="2:5" ht="18" customHeight="1" x14ac:dyDescent="0.2">
      <c r="B21" s="112" t="s">
        <v>2</v>
      </c>
      <c r="C21" s="113"/>
      <c r="D21" s="75" t="str">
        <f>IF(OR(E14=12,E14=22),'R-Rates'!C11,"")</f>
        <v/>
      </c>
    </row>
    <row r="22" spans="2:5" ht="18.75" x14ac:dyDescent="0.2">
      <c r="B22" s="67"/>
      <c r="C22" s="68" t="s">
        <v>5</v>
      </c>
      <c r="D22" s="78">
        <f>SUM(D20:D21)</f>
        <v>0</v>
      </c>
    </row>
    <row r="23" spans="2:5" ht="6.6" customHeight="1" x14ac:dyDescent="0.2">
      <c r="B23" s="69"/>
      <c r="C23" s="70"/>
      <c r="D23" s="66"/>
    </row>
    <row r="24" spans="2:5" ht="16.5" thickBot="1" x14ac:dyDescent="0.25">
      <c r="B24" s="71"/>
      <c r="C24" s="72" t="s">
        <v>40</v>
      </c>
      <c r="D24" s="79" t="str">
        <f>IF(OR(E14=12,E14=22),D15-D20,"")</f>
        <v/>
      </c>
    </row>
  </sheetData>
  <sheetProtection algorithmName="SHA-512" hashValue="zd0Zy09qSpQqYXN3Ct5oM7vbxF3agP8N+9ZkCeXzoTDJ0Zp72TF0SRh0M/vaitRDMXQiDhDot4idNHB8jiBZ7Q==" saltValue="uPQPvPs+cJ1oXNDEINhUpw==" spinCount="100000" sheet="1" objects="1" selectLockedCells="1"/>
  <mergeCells count="10">
    <mergeCell ref="A5:E5"/>
    <mergeCell ref="B16:C16"/>
    <mergeCell ref="B21:C21"/>
    <mergeCell ref="B10:C10"/>
    <mergeCell ref="B11:C11"/>
    <mergeCell ref="C8:D8"/>
    <mergeCell ref="C13:D13"/>
    <mergeCell ref="B19:E19"/>
    <mergeCell ref="B14:D14"/>
    <mergeCell ref="B6:D6"/>
  </mergeCells>
  <conditionalFormatting sqref="B13:D13">
    <cfRule type="expression" dxfId="34" priority="28">
      <formula>OR($E$8=1,$E$8=2)</formula>
    </cfRule>
  </conditionalFormatting>
  <conditionalFormatting sqref="C8:D8">
    <cfRule type="expression" dxfId="33" priority="27">
      <formula>$E$8=0</formula>
    </cfRule>
  </conditionalFormatting>
  <conditionalFormatting sqref="D10">
    <cfRule type="expression" dxfId="32" priority="21">
      <formula>AND(OR($E$8=1,$E$8=2),$D$10&gt;0)</formula>
    </cfRule>
    <cfRule type="expression" dxfId="31" priority="25">
      <formula>AND($E$8=1,$D$10&gt;0)</formula>
    </cfRule>
    <cfRule type="expression" dxfId="30" priority="26">
      <formula>AND(OR($E$8=1,$E$8=2),$D$10="")</formula>
    </cfRule>
  </conditionalFormatting>
  <conditionalFormatting sqref="D11">
    <cfRule type="expression" dxfId="29" priority="20">
      <formula>AND(OR($E$8=2,$E$8=3),$D$11&gt;0)</formula>
    </cfRule>
    <cfRule type="expression" dxfId="28" priority="24">
      <formula>AND(OR($E$8=2,$E$8=3),$D$11="")</formula>
    </cfRule>
  </conditionalFormatting>
  <conditionalFormatting sqref="B10 D10">
    <cfRule type="expression" dxfId="27" priority="23">
      <formula>OR($E$8=1,$E$8=2)</formula>
    </cfRule>
  </conditionalFormatting>
  <conditionalFormatting sqref="B11 D11">
    <cfRule type="expression" dxfId="26" priority="22">
      <formula>OR($E$8=2,$E$8=3)</formula>
    </cfRule>
  </conditionalFormatting>
  <conditionalFormatting sqref="C13:D13">
    <cfRule type="expression" dxfId="25" priority="18">
      <formula>OR($E$13=10,$E$13=20)</formula>
    </cfRule>
    <cfRule type="expression" dxfId="24" priority="19">
      <formula>OR($E$14=31,$E$14=32)</formula>
    </cfRule>
  </conditionalFormatting>
  <conditionalFormatting sqref="B15:D15">
    <cfRule type="expression" dxfId="23" priority="10">
      <formula>AND(OR($E$8=1,$E$8=2),$E$15=1)</formula>
    </cfRule>
  </conditionalFormatting>
  <conditionalFormatting sqref="B16:D16">
    <cfRule type="expression" dxfId="22" priority="9">
      <formula>AND(OR($E$8=2,$E$8=3),$E$15=1)</formula>
    </cfRule>
  </conditionalFormatting>
  <conditionalFormatting sqref="C17:D17">
    <cfRule type="expression" dxfId="21" priority="8">
      <formula>AND($E$8=2,$E$15=1)</formula>
    </cfRule>
  </conditionalFormatting>
  <conditionalFormatting sqref="D17">
    <cfRule type="expression" dxfId="20" priority="6">
      <formula>AND($E$8=2,$E$15=1)</formula>
    </cfRule>
  </conditionalFormatting>
  <conditionalFormatting sqref="B20:D24 B19">
    <cfRule type="expression" dxfId="19" priority="5">
      <formula>AND($E$8=2,$E$15=1)</formula>
    </cfRule>
  </conditionalFormatting>
  <conditionalFormatting sqref="D22">
    <cfRule type="expression" dxfId="18" priority="4">
      <formula>AND($E$8=2,$E$15=1)</formula>
    </cfRule>
  </conditionalFormatting>
  <conditionalFormatting sqref="B14:D14">
    <cfRule type="expression" dxfId="17" priority="3">
      <formula>AND($E$8=2,$E$15=1)</formula>
    </cfRule>
  </conditionalFormatting>
  <conditionalFormatting sqref="B15:D17">
    <cfRule type="expression" dxfId="16" priority="2">
      <formula>OR($E$8&lt;&gt;2,$E$15=0)</formula>
    </cfRule>
  </conditionalFormatting>
  <conditionalFormatting sqref="B20:D24">
    <cfRule type="expression" dxfId="15" priority="1">
      <formula>OR($E$8&lt;&gt;2,$E$15=0)</formula>
    </cfRule>
  </conditionalFormatting>
  <dataValidations count="3">
    <dataValidation type="decimal" allowBlank="1" showInputMessage="1" showErrorMessage="1" error="Either you have entered a negative # or a # over $100M.  If you have entered a negative #, please click &quot;Cancel&quot; and then enter a positive #.  If you have entered a # over $100M, please contact an underwriter for a quote." sqref="D10:E11">
      <formula1>0</formula1>
      <formula2>100000000</formula2>
    </dataValidation>
    <dataValidation type="list" allowBlank="1" showInputMessage="1" showErrorMessage="1" sqref="C8:D8">
      <formula1>Transactions</formula1>
    </dataValidation>
    <dataValidation type="list" allowBlank="1" showInputMessage="1" showErrorMessage="1" sqref="C13:D13">
      <formula1>Owners</formula1>
    </dataValidation>
  </dataValidations>
  <printOptions horizontalCentered="1"/>
  <pageMargins left="0.4" right="0.4" top="0.75" bottom="0.5" header="0.5" footer="0.3"/>
  <pageSetup orientation="portrait" r:id="rId1"/>
  <headerFooter>
    <oddHeader>&amp;R&amp;D &amp;T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showRowColHeaders="0" zoomScaleNormal="100" workbookViewId="0">
      <selection activeCell="C8" sqref="C8:D8"/>
    </sheetView>
  </sheetViews>
  <sheetFormatPr defaultColWidth="9.140625" defaultRowHeight="15.75" x14ac:dyDescent="0.2"/>
  <cols>
    <col min="1" max="1" width="3.7109375" style="15" customWidth="1"/>
    <col min="2" max="2" width="15.85546875" style="15" customWidth="1"/>
    <col min="3" max="3" width="9.85546875" style="15" customWidth="1"/>
    <col min="4" max="4" width="19.7109375" style="15" customWidth="1"/>
    <col min="5" max="5" width="3.7109375" style="15" customWidth="1"/>
    <col min="6" max="6" width="39.28515625" style="15" customWidth="1"/>
    <col min="7" max="7" width="5.42578125" style="15" customWidth="1"/>
    <col min="8" max="8" width="60.140625" style="15" customWidth="1"/>
    <col min="9" max="16384" width="9.140625" style="15"/>
  </cols>
  <sheetData>
    <row r="1" spans="1:8" x14ac:dyDescent="0.2">
      <c r="H1" s="63" t="s">
        <v>72</v>
      </c>
    </row>
    <row r="5" spans="1:8" ht="10.9" customHeight="1" x14ac:dyDescent="0.2">
      <c r="A5" s="111"/>
      <c r="B5" s="111"/>
      <c r="C5" s="111"/>
      <c r="D5" s="111"/>
      <c r="E5" s="111"/>
    </row>
    <row r="6" spans="1:8" ht="18" customHeight="1" x14ac:dyDescent="0.2">
      <c r="B6" s="119" t="str">
        <f>"Rates Effective " &amp;'C-Tables'!G2</f>
        <v>Rates Effective January 18, 2017</v>
      </c>
      <c r="C6" s="119"/>
      <c r="D6" s="119"/>
      <c r="E6" s="47"/>
    </row>
    <row r="7" spans="1:8" ht="10.9" customHeight="1" x14ac:dyDescent="0.2"/>
    <row r="8" spans="1:8" ht="18" customHeight="1" x14ac:dyDescent="0.2">
      <c r="B8" s="50" t="s">
        <v>64</v>
      </c>
      <c r="C8" s="115" t="s">
        <v>36</v>
      </c>
      <c r="D8" s="115"/>
      <c r="E8" s="55">
        <f>IF(C8="Single Issue (OTP Only or LTP Only)",1,IF(C8="Simultaneous Issue (OTP &amp; LTP)",2,0))</f>
        <v>0</v>
      </c>
    </row>
    <row r="9" spans="1:8" ht="10.9" customHeight="1" x14ac:dyDescent="0.2">
      <c r="E9" s="55"/>
    </row>
    <row r="10" spans="1:8" ht="18" customHeight="1" x14ac:dyDescent="0.2">
      <c r="B10" s="114" t="str">
        <f>IF(E8=1,"Liability","Owner's Liability")</f>
        <v>Owner's Liability</v>
      </c>
      <c r="C10" s="114"/>
      <c r="D10" s="52"/>
      <c r="E10" s="56"/>
    </row>
    <row r="11" spans="1:8" ht="18" customHeight="1" x14ac:dyDescent="0.2">
      <c r="B11" s="114" t="s">
        <v>66</v>
      </c>
      <c r="C11" s="114"/>
      <c r="D11" s="52"/>
      <c r="E11" s="56"/>
    </row>
    <row r="12" spans="1:8" ht="10.9" customHeight="1" x14ac:dyDescent="0.2">
      <c r="E12" s="55"/>
    </row>
    <row r="13" spans="1:8" ht="18" customHeight="1" x14ac:dyDescent="0.2">
      <c r="B13" s="51" t="s">
        <v>45</v>
      </c>
      <c r="C13" s="123" t="s">
        <v>32</v>
      </c>
      <c r="D13" s="123"/>
      <c r="E13" s="55">
        <f>IF(OR(E8=0,E8=3),0,IF(C13="Enhanced (Homeowner's)",10,IF(C13="Basic",20,30)))</f>
        <v>0</v>
      </c>
    </row>
    <row r="14" spans="1:8" ht="22.9" customHeight="1" thickBot="1" x14ac:dyDescent="0.3">
      <c r="B14" s="118" t="s">
        <v>67</v>
      </c>
      <c r="C14" s="118"/>
      <c r="D14" s="118"/>
      <c r="E14" s="57">
        <f>E8+E13</f>
        <v>0</v>
      </c>
    </row>
    <row r="15" spans="1:8" ht="18" customHeight="1" x14ac:dyDescent="0.2">
      <c r="B15" s="120" t="str">
        <f>IF(E8=1,"Premium","Owner's Policy")</f>
        <v>Owner's Policy</v>
      </c>
      <c r="C15" s="121"/>
      <c r="D15" s="74" t="str">
        <f>IF(AND(E8=1,D10&gt;0),'C-Tables'!D25,IF(AND(E8&lt;&gt;0,D10&gt;0,D11&gt;0),'C-Tables'!D25,""))</f>
        <v/>
      </c>
      <c r="E15" s="55">
        <f>IF(OR(E14=31,E14=32),0,1)</f>
        <v>1</v>
      </c>
    </row>
    <row r="16" spans="1:8" ht="18" customHeight="1" x14ac:dyDescent="0.2">
      <c r="B16" s="112" t="s">
        <v>2</v>
      </c>
      <c r="C16" s="113"/>
      <c r="D16" s="75" t="str">
        <f>IF(AND(D10&gt;0,D11&gt;0,E8=2),'C-Tables'!E25,"")</f>
        <v/>
      </c>
      <c r="E16" s="104"/>
    </row>
    <row r="17" spans="2:5" ht="19.5" thickBot="1" x14ac:dyDescent="0.25">
      <c r="B17" s="76"/>
      <c r="C17" s="72" t="s">
        <v>5</v>
      </c>
      <c r="D17" s="77">
        <f>SUM(D15:D16)</f>
        <v>0</v>
      </c>
    </row>
    <row r="18" spans="2:5" ht="10.9" customHeight="1" x14ac:dyDescent="0.2">
      <c r="B18" s="110"/>
      <c r="C18" s="17"/>
      <c r="D18" s="16"/>
    </row>
    <row r="19" spans="2:5" ht="15.6" customHeight="1" x14ac:dyDescent="0.2">
      <c r="B19" s="122" t="s">
        <v>71</v>
      </c>
      <c r="C19" s="122"/>
      <c r="D19" s="122"/>
      <c r="E19" s="122"/>
    </row>
    <row r="20" spans="2:5" ht="18" customHeight="1" x14ac:dyDescent="0.2">
      <c r="B20" s="122"/>
      <c r="C20" s="122"/>
      <c r="D20" s="122"/>
      <c r="E20" s="122"/>
    </row>
    <row r="21" spans="2:5" ht="18" customHeight="1" x14ac:dyDescent="0.2">
      <c r="B21" s="113"/>
      <c r="C21" s="113"/>
      <c r="D21" s="105"/>
      <c r="E21" s="70"/>
    </row>
    <row r="22" spans="2:5" ht="18.75" x14ac:dyDescent="0.2">
      <c r="B22" s="106"/>
      <c r="C22" s="68"/>
      <c r="D22" s="107"/>
      <c r="E22" s="70"/>
    </row>
    <row r="23" spans="2:5" ht="6.6" customHeight="1" x14ac:dyDescent="0.2">
      <c r="B23" s="70"/>
      <c r="C23" s="70"/>
      <c r="D23" s="70"/>
      <c r="E23" s="70"/>
    </row>
    <row r="24" spans="2:5" x14ac:dyDescent="0.2">
      <c r="B24" s="70"/>
      <c r="C24" s="68"/>
      <c r="D24" s="108"/>
      <c r="E24" s="70"/>
    </row>
    <row r="25" spans="2:5" x14ac:dyDescent="0.2">
      <c r="B25" s="70"/>
      <c r="C25" s="70"/>
      <c r="D25" s="70"/>
      <c r="E25" s="70"/>
    </row>
  </sheetData>
  <sheetProtection algorithmName="SHA-512" hashValue="GMzOajOXnSl9ZQtPpPFGQXmxDke3O9z1vE7HpT9m/nXWEXdxEYSehMSOhBrAIv/25E3moDMMGFkL48YOtZ3fCA==" saltValue="L2SRL8k3nHx2yhPhMLQ6Ew==" spinCount="100000" sheet="1" objects="1" selectLockedCells="1"/>
  <mergeCells count="11">
    <mergeCell ref="C13:D13"/>
    <mergeCell ref="A5:E5"/>
    <mergeCell ref="B6:D6"/>
    <mergeCell ref="C8:D8"/>
    <mergeCell ref="B10:C10"/>
    <mergeCell ref="B11:C11"/>
    <mergeCell ref="B14:D14"/>
    <mergeCell ref="B16:C16"/>
    <mergeCell ref="B21:C21"/>
    <mergeCell ref="B15:C15"/>
    <mergeCell ref="B19:E20"/>
  </mergeCells>
  <conditionalFormatting sqref="C8:D8">
    <cfRule type="expression" dxfId="14" priority="20">
      <formula>$E$8=0</formula>
    </cfRule>
  </conditionalFormatting>
  <conditionalFormatting sqref="D10">
    <cfRule type="expression" dxfId="13" priority="14">
      <formula>AND(OR($E$8=1,$E$8=2),$D$10&gt;0)</formula>
    </cfRule>
    <cfRule type="expression" dxfId="12" priority="18">
      <formula>AND($E$8=1,$D$10&gt;0)</formula>
    </cfRule>
    <cfRule type="expression" dxfId="11" priority="19">
      <formula>AND(OR($E$8=1,$E$8=2),$D$10="")</formula>
    </cfRule>
  </conditionalFormatting>
  <conditionalFormatting sqref="D11">
    <cfRule type="expression" dxfId="10" priority="13">
      <formula>AND(OR($E$8=2,$E$8=3),$D$11&gt;0)</formula>
    </cfRule>
    <cfRule type="expression" dxfId="9" priority="17">
      <formula>AND(OR($E$8=2,$E$8=3),$D$11="")</formula>
    </cfRule>
  </conditionalFormatting>
  <conditionalFormatting sqref="B10 D10">
    <cfRule type="expression" dxfId="8" priority="16">
      <formula>OR($E$8=1,$E$8=2)</formula>
    </cfRule>
  </conditionalFormatting>
  <conditionalFormatting sqref="B11 D11">
    <cfRule type="expression" dxfId="7" priority="15">
      <formula>OR($E$8=2,$E$8=3)</formula>
    </cfRule>
  </conditionalFormatting>
  <conditionalFormatting sqref="B15 D15">
    <cfRule type="expression" dxfId="6" priority="10">
      <formula>AND(OR($E$8=1,$E$8=2),$E$15=1)</formula>
    </cfRule>
  </conditionalFormatting>
  <conditionalFormatting sqref="B16:D16">
    <cfRule type="expression" dxfId="5" priority="9">
      <formula>AND(OR($E$8=2,$E$8=3),$E$15=1)</formula>
    </cfRule>
  </conditionalFormatting>
  <conditionalFormatting sqref="C17:D17">
    <cfRule type="expression" dxfId="4" priority="8">
      <formula>AND($E$8=2,$E$15=1)</formula>
    </cfRule>
  </conditionalFormatting>
  <conditionalFormatting sqref="D17">
    <cfRule type="expression" dxfId="3" priority="7">
      <formula>AND($E$8=2,$E$15=1)</formula>
    </cfRule>
  </conditionalFormatting>
  <conditionalFormatting sqref="B14:D14">
    <cfRule type="expression" dxfId="2" priority="4">
      <formula>AND($E$8=2,$E$15=1)</formula>
    </cfRule>
  </conditionalFormatting>
  <conditionalFormatting sqref="B16:D17 B15 C15 D15">
    <cfRule type="expression" dxfId="1" priority="3">
      <formula>OR($E$8&lt;&gt;2,$E$15=0)</formula>
    </cfRule>
  </conditionalFormatting>
  <conditionalFormatting sqref="B19">
    <cfRule type="expression" dxfId="0" priority="1">
      <formula>$D$17&gt;0</formula>
    </cfRule>
  </conditionalFormatting>
  <dataValidations count="5">
    <dataValidation type="list" allowBlank="1" showInputMessage="1" showErrorMessage="1" sqref="C13:D13">
      <formula1>Owners</formula1>
    </dataValidation>
    <dataValidation type="list" allowBlank="1" showInputMessage="1" showErrorMessage="1" sqref="C8:D8">
      <formula1>CTransactions</formula1>
    </dataValidation>
    <dataValidation type="decimal" allowBlank="1" showInputMessage="1" showErrorMessage="1" error="Either you have entered a negative # or a # over $100M.  If you have entered a negative #, please click &quot;Cancel&quot; and then enter a positive #.  If you have entered a # over $100M, please contact an underwriter for a quote." sqref="E10:E11">
      <formula1>0</formula1>
      <formula2>100000000</formula2>
    </dataValidation>
    <dataValidation type="decimal" allowBlank="1" showInputMessage="1" showErrorMessage="1" error="For transactions of $100M or more, please contact an underwriter for a quote." sqref="D11">
      <formula1>0</formula1>
      <formula2>99999000</formula2>
    </dataValidation>
    <dataValidation type="decimal" allowBlank="1" showInputMessage="1" showErrorMessage="1" error="For transactions of $100M or more, please contact an underwriter for a quote." sqref="D10">
      <formula1>0</formula1>
      <formula2>99999000</formula2>
    </dataValidation>
  </dataValidations>
  <printOptions horizontalCentered="1"/>
  <pageMargins left="0.4" right="0.4" top="0.75" bottom="0.5" header="0.5" footer="0.3"/>
  <pageSetup orientation="portrait" r:id="rId1"/>
  <headerFooter>
    <oddHeader>&amp;R&amp;D &amp;T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C26"/>
  <sheetViews>
    <sheetView showGridLines="0" workbookViewId="0">
      <selection activeCell="C2" sqref="C2"/>
    </sheetView>
  </sheetViews>
  <sheetFormatPr defaultRowHeight="12.75" x14ac:dyDescent="0.2"/>
  <cols>
    <col min="1" max="1" width="17.85546875" customWidth="1"/>
    <col min="2" max="2" width="42" customWidth="1"/>
    <col min="3" max="3" width="21.5703125" customWidth="1"/>
  </cols>
  <sheetData>
    <row r="1" spans="2:3" ht="20.100000000000001" customHeight="1" x14ac:dyDescent="0.2">
      <c r="B1" s="53" t="s">
        <v>0</v>
      </c>
      <c r="C1" s="58">
        <f>Residential!D10</f>
        <v>0</v>
      </c>
    </row>
    <row r="2" spans="2:3" ht="20.100000000000001" customHeight="1" thickBot="1" x14ac:dyDescent="0.25">
      <c r="B2" s="26" t="s">
        <v>1</v>
      </c>
      <c r="C2" s="59">
        <f>Residential!D11</f>
        <v>0</v>
      </c>
    </row>
    <row r="3" spans="2:3" ht="3.95" customHeight="1" thickBot="1" x14ac:dyDescent="0.25">
      <c r="B3" s="27"/>
      <c r="C3" s="27"/>
    </row>
    <row r="4" spans="2:3" x14ac:dyDescent="0.2">
      <c r="B4" s="130" t="s">
        <v>46</v>
      </c>
      <c r="C4" s="131"/>
    </row>
    <row r="5" spans="2:3" hidden="1" x14ac:dyDescent="0.2">
      <c r="B5" s="132"/>
      <c r="C5" s="133"/>
    </row>
    <row r="6" spans="2:3" ht="20.100000000000001" customHeight="1" x14ac:dyDescent="0.2">
      <c r="B6" s="25" t="s">
        <v>2</v>
      </c>
      <c r="C6" s="60">
        <f>IF(OR(C1=0,C2=0),0,IF(C1&gt;=C2,'R-Tables'!D43,'R-Tables'!D60))</f>
        <v>0</v>
      </c>
    </row>
    <row r="7" spans="2:3" ht="20.100000000000001" customHeight="1" x14ac:dyDescent="0.2">
      <c r="B7" s="25" t="s">
        <v>33</v>
      </c>
      <c r="C7" s="61">
        <f>IF(OR(C2=0,C1=0),0,C22)</f>
        <v>0</v>
      </c>
    </row>
    <row r="8" spans="2:3" ht="20.100000000000001" customHeight="1" x14ac:dyDescent="0.2">
      <c r="B8" s="28" t="s">
        <v>4</v>
      </c>
      <c r="C8" s="61">
        <f>IF(OR(C2=0,C1=0),0,C23)</f>
        <v>0</v>
      </c>
    </row>
    <row r="9" spans="2:3" ht="20.100000000000001" hidden="1" customHeight="1" thickBot="1" x14ac:dyDescent="0.25">
      <c r="B9" s="29"/>
      <c r="C9" s="30"/>
    </row>
    <row r="10" spans="2:3" x14ac:dyDescent="0.2">
      <c r="B10" s="124" t="s">
        <v>47</v>
      </c>
      <c r="C10" s="125"/>
    </row>
    <row r="11" spans="2:3" ht="20.100000000000001" customHeight="1" x14ac:dyDescent="0.2">
      <c r="B11" s="25" t="s">
        <v>2</v>
      </c>
      <c r="C11" s="60">
        <f>IF(OR(C2=0,C1=0),0,C20)</f>
        <v>0</v>
      </c>
    </row>
    <row r="12" spans="2:3" ht="20.100000000000001" customHeight="1" x14ac:dyDescent="0.2">
      <c r="B12" s="25" t="s">
        <v>33</v>
      </c>
      <c r="C12" s="61">
        <f>IF(OR(C1=0,C2=0),0,IF(C1&gt;=C2,C22-C20+'R-Tables'!D43,'R-Tables'!D59))</f>
        <v>0</v>
      </c>
    </row>
    <row r="13" spans="2:3" ht="20.100000000000001" customHeight="1" thickBot="1" x14ac:dyDescent="0.25">
      <c r="B13" s="28" t="s">
        <v>4</v>
      </c>
      <c r="C13" s="61">
        <f>IF(OR(C1=0,C2=0),0,IF(C1&gt;=C2,C23-C20+'R-Tables'!D43,'R-Tables'!D75))</f>
        <v>0</v>
      </c>
    </row>
    <row r="14" spans="2:3" ht="20.100000000000001" hidden="1" customHeight="1" thickBot="1" x14ac:dyDescent="0.25">
      <c r="B14" s="29"/>
      <c r="C14" s="30"/>
    </row>
    <row r="15" spans="2:3" ht="12.75" hidden="1" customHeight="1" x14ac:dyDescent="0.2">
      <c r="B15" s="126" t="s">
        <v>6</v>
      </c>
      <c r="C15" s="127"/>
    </row>
    <row r="16" spans="2:3" ht="20.100000000000001" hidden="1" customHeight="1" x14ac:dyDescent="0.2">
      <c r="B16" s="31" t="s">
        <v>2</v>
      </c>
      <c r="C16" s="32"/>
    </row>
    <row r="17" spans="2:3" ht="20.100000000000001" hidden="1" customHeight="1" x14ac:dyDescent="0.2">
      <c r="B17" s="33" t="s">
        <v>3</v>
      </c>
      <c r="C17" s="32"/>
    </row>
    <row r="18" spans="2:3" ht="20.100000000000001" hidden="1" customHeight="1" thickBot="1" x14ac:dyDescent="0.25">
      <c r="B18" s="29" t="s">
        <v>5</v>
      </c>
      <c r="C18" s="30">
        <f>IF(C2=0,0,IF(#REF!=0,0,'R-Tables'!#REF!+'R-Tables'!#REF!))</f>
        <v>0</v>
      </c>
    </row>
    <row r="19" spans="2:3" x14ac:dyDescent="0.2">
      <c r="B19" s="128" t="s">
        <v>7</v>
      </c>
      <c r="C19" s="129"/>
    </row>
    <row r="20" spans="2:3" ht="20.100000000000001" customHeight="1" x14ac:dyDescent="0.2">
      <c r="B20" s="25" t="s">
        <v>8</v>
      </c>
      <c r="C20" s="60">
        <f>'R-Tables'!D14</f>
        <v>0</v>
      </c>
    </row>
    <row r="21" spans="2:3" ht="20.100000000000001" hidden="1" customHeight="1" x14ac:dyDescent="0.2">
      <c r="B21" s="31" t="s">
        <v>3</v>
      </c>
      <c r="C21" s="61"/>
    </row>
    <row r="22" spans="2:3" ht="20.100000000000001" customHeight="1" x14ac:dyDescent="0.2">
      <c r="B22" s="25" t="s">
        <v>41</v>
      </c>
      <c r="C22" s="61">
        <f>'R-Tables'!D27</f>
        <v>0</v>
      </c>
    </row>
    <row r="23" spans="2:3" ht="20.100000000000001" customHeight="1" thickBot="1" x14ac:dyDescent="0.25">
      <c r="B23" s="26" t="s">
        <v>9</v>
      </c>
      <c r="C23" s="62">
        <f>'R-Tables'!D40</f>
        <v>0</v>
      </c>
    </row>
    <row r="24" spans="2:3" ht="3.95" customHeight="1" x14ac:dyDescent="0.2">
      <c r="B24" s="27"/>
      <c r="C24" s="27"/>
    </row>
    <row r="25" spans="2:3" x14ac:dyDescent="0.2">
      <c r="B25" s="1"/>
      <c r="C25" s="2"/>
    </row>
    <row r="26" spans="2:3" x14ac:dyDescent="0.2">
      <c r="B26" s="3"/>
    </row>
  </sheetData>
  <sheetProtection selectLockedCells="1"/>
  <mergeCells count="5">
    <mergeCell ref="B10:C10"/>
    <mergeCell ref="B15:C15"/>
    <mergeCell ref="B19:C19"/>
    <mergeCell ref="B4:C4"/>
    <mergeCell ref="B5:C5"/>
  </mergeCells>
  <printOptions horizontalCentered="1"/>
  <pageMargins left="0.75" right="0.75" top="0.5" bottom="0.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76"/>
  <sheetViews>
    <sheetView zoomScale="115" zoomScaleNormal="115" workbookViewId="0">
      <selection activeCell="C6" sqref="C6"/>
    </sheetView>
  </sheetViews>
  <sheetFormatPr defaultRowHeight="12.75" x14ac:dyDescent="0.2"/>
  <cols>
    <col min="1" max="2" width="13.28515625" customWidth="1"/>
    <col min="3" max="3" width="13.140625" customWidth="1"/>
    <col min="4" max="4" width="20.7109375" customWidth="1"/>
    <col min="5" max="5" width="3.28515625" customWidth="1"/>
    <col min="6" max="6" width="16.7109375" customWidth="1"/>
    <col min="8" max="8" width="30.140625" customWidth="1"/>
  </cols>
  <sheetData>
    <row r="1" spans="1:8" ht="13.5" thickBot="1" x14ac:dyDescent="0.25">
      <c r="A1" s="143" t="s">
        <v>24</v>
      </c>
      <c r="B1" s="144"/>
      <c r="C1" s="144"/>
      <c r="D1" s="145"/>
      <c r="F1" t="s">
        <v>26</v>
      </c>
      <c r="H1" t="s">
        <v>27</v>
      </c>
    </row>
    <row r="2" spans="1:8" ht="13.5" thickBot="1" x14ac:dyDescent="0.25">
      <c r="A2" s="146" t="s">
        <v>10</v>
      </c>
      <c r="B2" s="146"/>
      <c r="C2" s="146"/>
      <c r="D2" s="146"/>
      <c r="E2" s="36"/>
      <c r="F2" s="46" t="s">
        <v>70</v>
      </c>
      <c r="H2" s="48" t="s">
        <v>36</v>
      </c>
    </row>
    <row r="3" spans="1:8" ht="13.5" thickBot="1" x14ac:dyDescent="0.25">
      <c r="A3" s="137" t="s">
        <v>11</v>
      </c>
      <c r="B3" s="138"/>
      <c r="C3" s="138"/>
      <c r="D3" s="139"/>
      <c r="H3" s="48" t="s">
        <v>28</v>
      </c>
    </row>
    <row r="4" spans="1:8" ht="13.5" thickBot="1" x14ac:dyDescent="0.25">
      <c r="A4" s="134" t="s">
        <v>2</v>
      </c>
      <c r="B4" s="135"/>
      <c r="C4" s="135"/>
      <c r="D4" s="136"/>
      <c r="H4" s="48" t="s">
        <v>29</v>
      </c>
    </row>
    <row r="5" spans="1:8" x14ac:dyDescent="0.2">
      <c r="B5" s="19" t="s">
        <v>1</v>
      </c>
      <c r="C5" s="34">
        <f>'R-Rates'!C2</f>
        <v>0</v>
      </c>
      <c r="H5" s="48" t="s">
        <v>30</v>
      </c>
    </row>
    <row r="6" spans="1:8" x14ac:dyDescent="0.2">
      <c r="B6" s="19" t="s">
        <v>12</v>
      </c>
      <c r="C6" s="4">
        <f>ROUNDUP(C5,-3)</f>
        <v>0</v>
      </c>
    </row>
    <row r="7" spans="1:8" x14ac:dyDescent="0.2">
      <c r="A7" s="22" t="s">
        <v>22</v>
      </c>
      <c r="B7" s="40">
        <v>100000</v>
      </c>
      <c r="C7" s="40">
        <v>3.1</v>
      </c>
      <c r="D7" s="5">
        <f>IF(C$6=0,0,IF(C$6&gt;=B7,(B7/1000)*C7,(C$6/1000)*C7))</f>
        <v>0</v>
      </c>
      <c r="H7" s="49" t="s">
        <v>31</v>
      </c>
    </row>
    <row r="8" spans="1:8" x14ac:dyDescent="0.2">
      <c r="A8" s="22" t="s">
        <v>22</v>
      </c>
      <c r="B8" s="40">
        <v>500000</v>
      </c>
      <c r="C8" s="40">
        <v>2.5499999999999998</v>
      </c>
      <c r="D8" s="5">
        <f>IF(C$6=0,0,IF(C$6&gt;=B8,((B8-B7)/1000)*C8,IF(C$6&gt;B7,((C$6-B7)/1000)*C8,0)))</f>
        <v>0</v>
      </c>
      <c r="F8" s="44"/>
      <c r="H8" s="48" t="s">
        <v>36</v>
      </c>
    </row>
    <row r="9" spans="1:8" x14ac:dyDescent="0.2">
      <c r="A9" s="22" t="s">
        <v>22</v>
      </c>
      <c r="B9" s="40"/>
      <c r="C9" s="41"/>
      <c r="D9" s="5">
        <f>IF(C$6=0,0,IF(C$6&gt;=B9,((B9-B8)/1000)*C9,IF(C$6&gt;B8,((C$6-B8)/1000)*C9,0)))</f>
        <v>0</v>
      </c>
      <c r="F9" s="44"/>
      <c r="H9" s="48" t="s">
        <v>35</v>
      </c>
    </row>
    <row r="10" spans="1:8" x14ac:dyDescent="0.2">
      <c r="A10" s="22" t="s">
        <v>22</v>
      </c>
      <c r="B10" s="40"/>
      <c r="C10" s="41"/>
      <c r="D10" s="5">
        <f>IF(C$6=0,0,IF(C$6&gt;=B10,((B10-B9)/1000)*C10,IF(C$6&gt;B9,((C$6-B9)/1000)*C10,0)))</f>
        <v>0</v>
      </c>
      <c r="F10" s="44"/>
      <c r="H10" s="48" t="s">
        <v>32</v>
      </c>
    </row>
    <row r="11" spans="1:8" x14ac:dyDescent="0.2">
      <c r="A11" s="22" t="s">
        <v>23</v>
      </c>
      <c r="B11" s="40">
        <v>500000</v>
      </c>
      <c r="C11" s="40">
        <v>2.25</v>
      </c>
      <c r="D11" s="5">
        <f>IF(C$6=0,0,IF(C$6&gt;=B11,((C$6-B11)/1000)*C11,0))</f>
        <v>0</v>
      </c>
      <c r="F11" s="44"/>
      <c r="H11" s="48"/>
    </row>
    <row r="12" spans="1:8" x14ac:dyDescent="0.2">
      <c r="A12" s="6" t="s">
        <v>5</v>
      </c>
      <c r="B12" s="6"/>
      <c r="C12" s="6"/>
      <c r="D12" s="7">
        <f>SUM(D7:D11)</f>
        <v>0</v>
      </c>
    </row>
    <row r="13" spans="1:8" ht="13.5" thickBot="1" x14ac:dyDescent="0.25">
      <c r="A13" s="19"/>
      <c r="B13" s="19" t="s">
        <v>21</v>
      </c>
      <c r="C13" s="42">
        <v>200</v>
      </c>
      <c r="D13" s="38">
        <f>IF(D12&lt;C13,C13,D12)</f>
        <v>200</v>
      </c>
    </row>
    <row r="14" spans="1:8" ht="13.5" thickBot="1" x14ac:dyDescent="0.25">
      <c r="A14" t="s">
        <v>13</v>
      </c>
      <c r="D14" s="8">
        <f>IF(C$6=0,0,D13)</f>
        <v>0</v>
      </c>
    </row>
    <row r="16" spans="1:8" ht="13.5" thickBot="1" x14ac:dyDescent="0.25"/>
    <row r="17" spans="1:6" ht="13.5" thickBot="1" x14ac:dyDescent="0.25">
      <c r="A17" s="134" t="s">
        <v>33</v>
      </c>
      <c r="B17" s="135"/>
      <c r="C17" s="135"/>
      <c r="D17" s="136"/>
    </row>
    <row r="18" spans="1:6" x14ac:dyDescent="0.2">
      <c r="B18" s="19" t="s">
        <v>14</v>
      </c>
      <c r="C18" s="34">
        <f>'R-Rates'!C1</f>
        <v>0</v>
      </c>
    </row>
    <row r="19" spans="1:6" x14ac:dyDescent="0.2">
      <c r="B19" s="19" t="s">
        <v>12</v>
      </c>
      <c r="C19" s="4">
        <f>ROUNDUP(C18,-3)</f>
        <v>0</v>
      </c>
    </row>
    <row r="20" spans="1:6" x14ac:dyDescent="0.2">
      <c r="A20" s="22" t="s">
        <v>22</v>
      </c>
      <c r="B20" s="40">
        <v>100000</v>
      </c>
      <c r="C20" s="41">
        <v>4.25</v>
      </c>
      <c r="D20" s="5">
        <f>IF(C$19=0,0,IF(C$19&gt;=B20,(B20/1000)*C20,(C$19/1000)*C20))</f>
        <v>0</v>
      </c>
    </row>
    <row r="21" spans="1:6" x14ac:dyDescent="0.2">
      <c r="A21" s="22" t="s">
        <v>22</v>
      </c>
      <c r="B21" s="40">
        <v>500000</v>
      </c>
      <c r="C21" s="41">
        <v>3.7</v>
      </c>
      <c r="D21" s="5">
        <f>IF(C$19=0,0,IF(C$19&gt;=B21,((B21-B20)/1000)*C21,IF(C$19&gt;B20,((C$19-B20)/1000)*C21,0)))</f>
        <v>0</v>
      </c>
      <c r="F21" s="44"/>
    </row>
    <row r="22" spans="1:6" x14ac:dyDescent="0.2">
      <c r="A22" s="22" t="s">
        <v>22</v>
      </c>
      <c r="B22" s="40"/>
      <c r="C22" s="41"/>
      <c r="D22" s="5">
        <f>IF(C$19=0,0,IF(C$19&gt;=B22,((B22-B21)/1000)*C22,IF(C$19&gt;B21,((C$19-B21)/1000)*C22,0)))</f>
        <v>0</v>
      </c>
      <c r="F22" s="44"/>
    </row>
    <row r="23" spans="1:6" x14ac:dyDescent="0.2">
      <c r="A23" s="22" t="s">
        <v>22</v>
      </c>
      <c r="B23" s="40"/>
      <c r="C23" s="41"/>
      <c r="D23" s="5">
        <f>IF(C$19=0,0,IF(C$19&gt;=B23,((B23-B22)/1000)*C23,IF(C$19&gt;B22,((C$19-B22)/1000)*C23,0)))</f>
        <v>0</v>
      </c>
      <c r="F23" s="44"/>
    </row>
    <row r="24" spans="1:6" x14ac:dyDescent="0.2">
      <c r="A24" s="22" t="s">
        <v>23</v>
      </c>
      <c r="B24" s="40">
        <v>500000</v>
      </c>
      <c r="C24" s="41">
        <v>3.1</v>
      </c>
      <c r="D24" s="5">
        <f>IF(C$19=0,0,IF(C$19&gt;=B24,((C$19-B24)/1000)*C24,0))</f>
        <v>0</v>
      </c>
      <c r="F24" s="44"/>
    </row>
    <row r="25" spans="1:6" x14ac:dyDescent="0.2">
      <c r="A25" s="6" t="s">
        <v>5</v>
      </c>
      <c r="B25" s="6"/>
      <c r="C25" s="6"/>
      <c r="D25" s="37">
        <f>SUM(D20:D24)</f>
        <v>0</v>
      </c>
    </row>
    <row r="26" spans="1:6" ht="13.5" thickBot="1" x14ac:dyDescent="0.25">
      <c r="B26" s="19" t="s">
        <v>21</v>
      </c>
      <c r="C26" s="41">
        <v>200</v>
      </c>
      <c r="D26" s="38">
        <f>IF(D25&lt;C26,C26,D25)</f>
        <v>200</v>
      </c>
    </row>
    <row r="27" spans="1:6" ht="13.5" thickBot="1" x14ac:dyDescent="0.25">
      <c r="A27" t="s">
        <v>15</v>
      </c>
      <c r="D27" s="39">
        <f>IF(C$19=0,0,D26)</f>
        <v>0</v>
      </c>
    </row>
    <row r="29" spans="1:6" ht="13.5" thickBot="1" x14ac:dyDescent="0.25"/>
    <row r="30" spans="1:6" ht="13.5" thickBot="1" x14ac:dyDescent="0.25">
      <c r="A30" s="134" t="s">
        <v>4</v>
      </c>
      <c r="B30" s="135"/>
      <c r="C30" s="135"/>
      <c r="D30" s="136"/>
    </row>
    <row r="31" spans="1:6" x14ac:dyDescent="0.2">
      <c r="B31" s="19" t="s">
        <v>14</v>
      </c>
      <c r="C31" s="34">
        <f>'R-Rates'!C1</f>
        <v>0</v>
      </c>
    </row>
    <row r="32" spans="1:6" x14ac:dyDescent="0.2">
      <c r="B32" s="19" t="s">
        <v>12</v>
      </c>
      <c r="C32" s="4">
        <f>ROUNDUP(C31,-3)</f>
        <v>0</v>
      </c>
    </row>
    <row r="33" spans="1:6" x14ac:dyDescent="0.2">
      <c r="A33" s="22" t="s">
        <v>22</v>
      </c>
      <c r="B33" s="40">
        <v>100000</v>
      </c>
      <c r="C33" s="41">
        <v>5.0999999999999996</v>
      </c>
      <c r="D33" s="5">
        <f>IF(C$19=0,0,IF(C$19&gt;=B33,(B33/1000)*C33,(C$19/1000)*C33))</f>
        <v>0</v>
      </c>
    </row>
    <row r="34" spans="1:6" x14ac:dyDescent="0.2">
      <c r="A34" s="22" t="s">
        <v>22</v>
      </c>
      <c r="B34" s="40">
        <v>500000</v>
      </c>
      <c r="C34" s="41">
        <v>4.3</v>
      </c>
      <c r="D34" s="5">
        <f>IF(C$19=0,0,IF(C$19&gt;=B34,((B34-B33)/1000)*C34,IF(C$19&gt;B33,((C$19-B33)/1000)*C34,0)))</f>
        <v>0</v>
      </c>
    </row>
    <row r="35" spans="1:6" x14ac:dyDescent="0.2">
      <c r="A35" s="22" t="s">
        <v>22</v>
      </c>
      <c r="B35" s="40"/>
      <c r="C35" s="41"/>
      <c r="D35" s="5">
        <f>IF(C$19=0,0,IF(C$19&gt;=B35,((B35-B34)/1000)*C35,IF(C$19&gt;B34,((C$19-B34)/1000)*C35,0)))</f>
        <v>0</v>
      </c>
    </row>
    <row r="36" spans="1:6" x14ac:dyDescent="0.2">
      <c r="A36" s="22" t="s">
        <v>22</v>
      </c>
      <c r="B36" s="40"/>
      <c r="C36" s="41"/>
      <c r="D36" s="5">
        <f>IF(C$19=0,0,IF(C$19&gt;=B36,((B36-B35)/1000)*C36,IF(C$19&gt;B35,((C$19-B35)/1000)*C36,0)))</f>
        <v>0</v>
      </c>
    </row>
    <row r="37" spans="1:6" x14ac:dyDescent="0.2">
      <c r="A37" s="22" t="s">
        <v>23</v>
      </c>
      <c r="B37" s="40">
        <v>500000</v>
      </c>
      <c r="C37" s="41">
        <v>3.6</v>
      </c>
      <c r="D37" s="5">
        <f>IF(C$19=0,0,IF(C$19&gt;=B37,((C$19-B37)/1000)*C37,0))</f>
        <v>0</v>
      </c>
    </row>
    <row r="38" spans="1:6" x14ac:dyDescent="0.2">
      <c r="A38" s="6" t="s">
        <v>5</v>
      </c>
      <c r="B38" s="6"/>
      <c r="C38" s="6"/>
      <c r="D38" s="37">
        <f>SUM(D33:D37)</f>
        <v>0</v>
      </c>
    </row>
    <row r="39" spans="1:6" ht="13.5" thickBot="1" x14ac:dyDescent="0.25">
      <c r="B39" s="19" t="s">
        <v>21</v>
      </c>
      <c r="C39" s="41">
        <v>200</v>
      </c>
      <c r="D39" s="38">
        <f>IF(D38&lt;C39,C39,D38)</f>
        <v>200</v>
      </c>
    </row>
    <row r="40" spans="1:6" ht="13.5" thickBot="1" x14ac:dyDescent="0.25">
      <c r="A40" t="s">
        <v>16</v>
      </c>
      <c r="D40" s="39">
        <f>IF(C$19=0,0,D39)</f>
        <v>0</v>
      </c>
    </row>
    <row r="41" spans="1:6" x14ac:dyDescent="0.2">
      <c r="A41" s="6"/>
      <c r="B41" s="6"/>
      <c r="C41" s="6"/>
      <c r="D41" s="10"/>
    </row>
    <row r="42" spans="1:6" ht="13.5" thickBot="1" x14ac:dyDescent="0.25">
      <c r="A42" s="6"/>
      <c r="B42" s="6"/>
      <c r="C42" s="6"/>
      <c r="D42" s="10"/>
    </row>
    <row r="43" spans="1:6" ht="13.5" thickBot="1" x14ac:dyDescent="0.25">
      <c r="A43" s="140" t="s">
        <v>25</v>
      </c>
      <c r="B43" s="141"/>
      <c r="C43" s="142"/>
      <c r="D43" s="43">
        <v>150</v>
      </c>
    </row>
    <row r="44" spans="1:6" ht="13.5" thickBot="1" x14ac:dyDescent="0.25"/>
    <row r="45" spans="1:6" ht="13.5" thickBot="1" x14ac:dyDescent="0.25">
      <c r="A45" s="137" t="s">
        <v>18</v>
      </c>
      <c r="B45" s="138"/>
      <c r="C45" s="138"/>
      <c r="D45" s="139"/>
      <c r="E45" s="36"/>
      <c r="F45" s="45"/>
    </row>
    <row r="46" spans="1:6" ht="13.5" thickBot="1" x14ac:dyDescent="0.25">
      <c r="A46" s="134" t="s">
        <v>34</v>
      </c>
      <c r="B46" s="135"/>
      <c r="C46" s="135"/>
      <c r="D46" s="136"/>
      <c r="F46" s="45"/>
    </row>
    <row r="47" spans="1:6" hidden="1" x14ac:dyDescent="0.2">
      <c r="A47" t="s">
        <v>17</v>
      </c>
      <c r="D47" s="11">
        <f>D43</f>
        <v>150</v>
      </c>
      <c r="F47" s="45"/>
    </row>
    <row r="48" spans="1:6" x14ac:dyDescent="0.2">
      <c r="B48" t="s">
        <v>14</v>
      </c>
      <c r="C48" s="35">
        <f>IF(C18=0,0,C18)</f>
        <v>0</v>
      </c>
      <c r="F48" s="45"/>
    </row>
    <row r="49" spans="1:6" x14ac:dyDescent="0.2">
      <c r="B49" t="s">
        <v>12</v>
      </c>
      <c r="C49" s="4">
        <f>ROUNDUP(C48,-3)</f>
        <v>0</v>
      </c>
      <c r="F49" s="45"/>
    </row>
    <row r="50" spans="1:6" x14ac:dyDescent="0.2">
      <c r="A50" s="22" t="s">
        <v>22</v>
      </c>
      <c r="B50" s="21">
        <f t="shared" ref="B50:C54" si="0">B7</f>
        <v>100000</v>
      </c>
      <c r="C50" s="20">
        <f t="shared" si="0"/>
        <v>3.1</v>
      </c>
      <c r="D50" s="5">
        <f>IF(C$49=0,0,IF(C$49&gt;=B50,(B50/1000)*C50,(C$49/1000)*C50))</f>
        <v>0</v>
      </c>
    </row>
    <row r="51" spans="1:6" x14ac:dyDescent="0.2">
      <c r="A51" s="22" t="s">
        <v>22</v>
      </c>
      <c r="B51" s="21">
        <f t="shared" si="0"/>
        <v>500000</v>
      </c>
      <c r="C51" s="20">
        <f t="shared" si="0"/>
        <v>2.5499999999999998</v>
      </c>
      <c r="D51" s="5">
        <f>IF(C$49=0,0,IF(C$49&gt;=B51,((B51-B50)/1000)*C51,IF(C$49&gt;B50,((C$49-B50)/1000)*C51,0)))</f>
        <v>0</v>
      </c>
    </row>
    <row r="52" spans="1:6" x14ac:dyDescent="0.2">
      <c r="A52" s="22" t="s">
        <v>22</v>
      </c>
      <c r="B52" s="21">
        <f t="shared" si="0"/>
        <v>0</v>
      </c>
      <c r="C52" s="20">
        <f t="shared" si="0"/>
        <v>0</v>
      </c>
      <c r="D52" s="5">
        <f>IF(C$49=0,0,IF(C$49&gt;=B52,((B52-B51)/1000)*C52,IF(C$49&gt;B51,((C$49-B51)/1000)*C52,0)))</f>
        <v>0</v>
      </c>
    </row>
    <row r="53" spans="1:6" x14ac:dyDescent="0.2">
      <c r="A53" s="22" t="s">
        <v>22</v>
      </c>
      <c r="B53" s="21">
        <f t="shared" si="0"/>
        <v>0</v>
      </c>
      <c r="C53" s="20">
        <f t="shared" si="0"/>
        <v>0</v>
      </c>
      <c r="D53" s="5">
        <f>IF(C$49=0,0,IF(C$49&gt;=B53,((B53-B52)/1000)*C53,IF(C$49&gt;B52,((C$49-B52)/1000)*C53,0)))</f>
        <v>0</v>
      </c>
    </row>
    <row r="54" spans="1:6" x14ac:dyDescent="0.2">
      <c r="A54" s="22" t="s">
        <v>23</v>
      </c>
      <c r="B54" s="21">
        <f t="shared" si="0"/>
        <v>500000</v>
      </c>
      <c r="C54" s="20">
        <f t="shared" si="0"/>
        <v>2.25</v>
      </c>
      <c r="D54" s="5">
        <f>IF(C$49=0,0,IF(C$49&gt;=B54,((C$49-B54)/1000)*C54,0))</f>
        <v>0</v>
      </c>
    </row>
    <row r="55" spans="1:6" x14ac:dyDescent="0.2">
      <c r="A55" s="6" t="s">
        <v>19</v>
      </c>
      <c r="B55" s="6"/>
      <c r="C55" s="6"/>
      <c r="D55" s="9">
        <f>SUM(D50:D54)</f>
        <v>0</v>
      </c>
    </row>
    <row r="56" spans="1:6" x14ac:dyDescent="0.2">
      <c r="B56" s="19" t="s">
        <v>21</v>
      </c>
      <c r="C56" s="23">
        <f>C13</f>
        <v>200</v>
      </c>
      <c r="D56" s="24">
        <f>IF(D55&lt;C56,C56,D55)</f>
        <v>200</v>
      </c>
      <c r="F56" s="45"/>
    </row>
    <row r="57" spans="1:6" x14ac:dyDescent="0.2">
      <c r="A57" s="6" t="s">
        <v>49</v>
      </c>
      <c r="B57" s="6"/>
      <c r="D57" s="12">
        <f>IF(C$49&lt;=0,0,D27)</f>
        <v>0</v>
      </c>
      <c r="F57" s="45"/>
    </row>
    <row r="58" spans="1:6" ht="13.5" thickBot="1" x14ac:dyDescent="0.25">
      <c r="A58" t="s">
        <v>48</v>
      </c>
      <c r="D58" s="13">
        <f>IF(C$49&lt;=0,0,D14)</f>
        <v>0</v>
      </c>
      <c r="F58" s="45"/>
    </row>
    <row r="59" spans="1:6" ht="13.5" thickBot="1" x14ac:dyDescent="0.25">
      <c r="A59" s="6" t="s">
        <v>38</v>
      </c>
      <c r="B59" s="6"/>
      <c r="D59" s="14">
        <f>IF(C49=0,0,IF(C6&lt;C19,0,D57-D56+D43))</f>
        <v>0</v>
      </c>
      <c r="F59" s="45"/>
    </row>
    <row r="60" spans="1:6" ht="13.5" thickBot="1" x14ac:dyDescent="0.25">
      <c r="A60" s="6" t="s">
        <v>50</v>
      </c>
      <c r="D60" s="54">
        <f>IF(C49=0,0,D14-D55+D43)</f>
        <v>0</v>
      </c>
      <c r="F60" s="45"/>
    </row>
    <row r="61" spans="1:6" ht="13.5" thickBot="1" x14ac:dyDescent="0.25"/>
    <row r="62" spans="1:6" ht="13.5" thickBot="1" x14ac:dyDescent="0.25">
      <c r="A62" s="134" t="s">
        <v>20</v>
      </c>
      <c r="B62" s="135"/>
      <c r="C62" s="135"/>
      <c r="D62" s="136"/>
    </row>
    <row r="63" spans="1:6" hidden="1" x14ac:dyDescent="0.2">
      <c r="A63" t="s">
        <v>17</v>
      </c>
      <c r="D63" s="11">
        <f>D47</f>
        <v>150</v>
      </c>
      <c r="F63" s="45"/>
    </row>
    <row r="64" spans="1:6" x14ac:dyDescent="0.2">
      <c r="B64" t="s">
        <v>14</v>
      </c>
      <c r="C64" s="35">
        <f>IF(C18=0,0,C18)</f>
        <v>0</v>
      </c>
    </row>
    <row r="65" spans="1:4" x14ac:dyDescent="0.2">
      <c r="B65" t="s">
        <v>12</v>
      </c>
      <c r="C65" s="4">
        <f>ROUNDUP(C64,-3)</f>
        <v>0</v>
      </c>
    </row>
    <row r="66" spans="1:4" x14ac:dyDescent="0.2">
      <c r="A66" s="22" t="s">
        <v>22</v>
      </c>
      <c r="B66" s="21">
        <f>B7</f>
        <v>100000</v>
      </c>
      <c r="C66" s="20">
        <f>C7</f>
        <v>3.1</v>
      </c>
      <c r="D66" s="5">
        <f>IF(C$65=0,0,IF(C$65&gt;=B66,(B66/1000)*C66,(C$65/1000)*C66))</f>
        <v>0</v>
      </c>
    </row>
    <row r="67" spans="1:4" x14ac:dyDescent="0.2">
      <c r="A67" s="22" t="s">
        <v>22</v>
      </c>
      <c r="B67" s="21">
        <f t="shared" ref="B67:C67" si="1">B8</f>
        <v>500000</v>
      </c>
      <c r="C67" s="20">
        <f t="shared" si="1"/>
        <v>2.5499999999999998</v>
      </c>
      <c r="D67" s="5">
        <f>IF(C$65=0,0,IF(C$65&gt;=B67,((B67-B66)/1000)*C67,IF(C$65&gt;B66,((C$65-B66)/1000)*C67,0)))</f>
        <v>0</v>
      </c>
    </row>
    <row r="68" spans="1:4" x14ac:dyDescent="0.2">
      <c r="A68" s="22" t="s">
        <v>22</v>
      </c>
      <c r="B68" s="21">
        <f t="shared" ref="B68:C68" si="2">B9</f>
        <v>0</v>
      </c>
      <c r="C68" s="20">
        <f t="shared" si="2"/>
        <v>0</v>
      </c>
      <c r="D68" s="5">
        <f>IF(C$65=0,0,IF(C$65&gt;=B68,((B68-B67)/1000)*C68,IF(C$65&gt;B67,((C$65-B67)/1000)*C68,0)))</f>
        <v>0</v>
      </c>
    </row>
    <row r="69" spans="1:4" x14ac:dyDescent="0.2">
      <c r="A69" s="22" t="s">
        <v>22</v>
      </c>
      <c r="B69" s="21">
        <f t="shared" ref="B69:C69" si="3">B10</f>
        <v>0</v>
      </c>
      <c r="C69" s="20">
        <f t="shared" si="3"/>
        <v>0</v>
      </c>
      <c r="D69" s="5">
        <f>IF(C$65=0,0,IF(C$65&gt;=B69,((B69-B68)/1000)*C69,IF(C$65&gt;B68,((C$65-B68)/1000)*C69,0)))</f>
        <v>0</v>
      </c>
    </row>
    <row r="70" spans="1:4" x14ac:dyDescent="0.2">
      <c r="A70" s="22" t="s">
        <v>23</v>
      </c>
      <c r="B70" s="21">
        <f t="shared" ref="B70:C70" si="4">B11</f>
        <v>500000</v>
      </c>
      <c r="C70" s="20">
        <f t="shared" si="4"/>
        <v>2.25</v>
      </c>
      <c r="D70" s="5">
        <f>IF(C$65=0,0,IF(C$65&gt;=B70,((C$65-B70)/1000)*C70,0))</f>
        <v>0</v>
      </c>
    </row>
    <row r="71" spans="1:4" x14ac:dyDescent="0.2">
      <c r="A71" s="6" t="s">
        <v>19</v>
      </c>
      <c r="B71" s="6"/>
      <c r="C71" s="6"/>
      <c r="D71" s="9">
        <f>SUM(D66:D70)</f>
        <v>0</v>
      </c>
    </row>
    <row r="72" spans="1:4" x14ac:dyDescent="0.2">
      <c r="B72" s="19" t="s">
        <v>21</v>
      </c>
      <c r="C72" s="23">
        <f>C13</f>
        <v>200</v>
      </c>
      <c r="D72" s="24">
        <f>IF(D71&lt;C72,C72,D71)</f>
        <v>200</v>
      </c>
    </row>
    <row r="73" spans="1:4" x14ac:dyDescent="0.2">
      <c r="A73" s="6" t="s">
        <v>16</v>
      </c>
      <c r="B73" s="6"/>
      <c r="D73" s="12">
        <f>IF(C$65&lt;=0,0,D40)</f>
        <v>0</v>
      </c>
    </row>
    <row r="74" spans="1:4" ht="13.5" thickBot="1" x14ac:dyDescent="0.25">
      <c r="A74" t="s">
        <v>48</v>
      </c>
      <c r="D74" s="13">
        <f>IF(C$65&lt;=0,0,D14)</f>
        <v>0</v>
      </c>
    </row>
    <row r="75" spans="1:4" ht="13.5" thickBot="1" x14ac:dyDescent="0.25">
      <c r="A75" s="6" t="s">
        <v>37</v>
      </c>
      <c r="B75" s="6"/>
      <c r="D75" s="14">
        <f>IF(C65=0,0,IF(C6&lt;C19,0,D73-D72+D43))</f>
        <v>0</v>
      </c>
    </row>
    <row r="76" spans="1:4" ht="13.5" thickBot="1" x14ac:dyDescent="0.25">
      <c r="A76" s="6" t="s">
        <v>50</v>
      </c>
      <c r="D76" s="54">
        <f>IF(C65=0,0,D14-D71+D43)</f>
        <v>0</v>
      </c>
    </row>
  </sheetData>
  <sheetProtection selectLockedCells="1"/>
  <mergeCells count="10">
    <mergeCell ref="A17:D17"/>
    <mergeCell ref="A1:D1"/>
    <mergeCell ref="A2:D2"/>
    <mergeCell ref="A3:D3"/>
    <mergeCell ref="A4:D4"/>
    <mergeCell ref="A30:D30"/>
    <mergeCell ref="A45:D45"/>
    <mergeCell ref="A46:D46"/>
    <mergeCell ref="A62:D62"/>
    <mergeCell ref="A43:C43"/>
  </mergeCells>
  <printOptions horizontalCentered="1"/>
  <pageMargins left="0.5" right="0.5" top="0.75" bottom="1" header="0.5" footer="0.5"/>
  <pageSetup orientation="landscape" r:id="rId1"/>
  <headerFooter alignWithMargins="0"/>
  <colBreaks count="1" manualBreakCount="1">
    <brk id="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4" workbookViewId="0">
      <selection activeCell="D6" sqref="D6"/>
    </sheetView>
  </sheetViews>
  <sheetFormatPr defaultColWidth="9.140625" defaultRowHeight="12.75" x14ac:dyDescent="0.2"/>
  <cols>
    <col min="1" max="1" width="20.42578125" customWidth="1"/>
    <col min="2" max="2" width="20.28515625" customWidth="1"/>
    <col min="3" max="3" width="16.5703125" customWidth="1"/>
    <col min="4" max="5" width="20.7109375" customWidth="1"/>
    <col min="6" max="6" width="5.85546875" customWidth="1"/>
    <col min="7" max="7" width="20.7109375" customWidth="1"/>
    <col min="9" max="9" width="23.28515625" customWidth="1"/>
  </cols>
  <sheetData>
    <row r="1" spans="1:9" ht="13.5" thickBot="1" x14ac:dyDescent="0.25">
      <c r="A1" s="150" t="s">
        <v>24</v>
      </c>
      <c r="B1" s="151"/>
      <c r="C1" s="151"/>
      <c r="D1" s="151"/>
      <c r="E1" s="151"/>
      <c r="G1" t="s">
        <v>26</v>
      </c>
      <c r="I1" t="s">
        <v>63</v>
      </c>
    </row>
    <row r="2" spans="1:9" ht="13.5" thickBot="1" x14ac:dyDescent="0.25">
      <c r="A2" s="152"/>
      <c r="B2" s="152"/>
      <c r="C2" s="152"/>
      <c r="D2" s="152"/>
      <c r="E2" s="80"/>
      <c r="G2" s="100" t="s">
        <v>62</v>
      </c>
      <c r="I2" s="48" t="s">
        <v>36</v>
      </c>
    </row>
    <row r="3" spans="1:9" ht="13.5" thickBot="1" x14ac:dyDescent="0.25">
      <c r="A3" s="153" t="s">
        <v>53</v>
      </c>
      <c r="B3" s="154"/>
      <c r="C3" s="154"/>
      <c r="D3" s="154"/>
      <c r="E3" s="155"/>
      <c r="I3" s="48" t="s">
        <v>68</v>
      </c>
    </row>
    <row r="4" spans="1:9" ht="13.5" thickBot="1" x14ac:dyDescent="0.25">
      <c r="A4" s="156" t="s">
        <v>54</v>
      </c>
      <c r="B4" s="157"/>
      <c r="C4" s="157"/>
      <c r="D4" s="81" t="s">
        <v>55</v>
      </c>
      <c r="E4" s="81" t="s">
        <v>56</v>
      </c>
      <c r="I4" s="48" t="s">
        <v>69</v>
      </c>
    </row>
    <row r="5" spans="1:9" x14ac:dyDescent="0.2">
      <c r="C5" s="19" t="s">
        <v>14</v>
      </c>
      <c r="D5" s="34">
        <f>Commercial!D10</f>
        <v>0</v>
      </c>
      <c r="E5" s="82">
        <f>Commercial!D11</f>
        <v>0</v>
      </c>
    </row>
    <row r="6" spans="1:9" x14ac:dyDescent="0.2">
      <c r="C6" s="19" t="s">
        <v>12</v>
      </c>
      <c r="D6" s="4">
        <f>ROUNDUP(D5,-3)</f>
        <v>0</v>
      </c>
      <c r="E6" s="4">
        <f>ROUNDUP(E5,-3)</f>
        <v>0</v>
      </c>
    </row>
    <row r="7" spans="1:9" x14ac:dyDescent="0.2">
      <c r="A7" s="22" t="s">
        <v>22</v>
      </c>
      <c r="B7" s="40">
        <v>5000000</v>
      </c>
      <c r="C7" s="41">
        <v>1.95</v>
      </c>
      <c r="D7" s="5">
        <f>IF(D$6=0,0,IF(D$6&gt;=B7,(B7/1000)*C7,(D$6/1000)*C7))</f>
        <v>0</v>
      </c>
      <c r="E7" s="5">
        <f>IF(E$6=0,0,IF(E$6&gt;=B7,(B7/1000)*C7,(E$6/1000)*C7))</f>
        <v>0</v>
      </c>
    </row>
    <row r="8" spans="1:9" x14ac:dyDescent="0.2">
      <c r="A8" s="22" t="s">
        <v>22</v>
      </c>
      <c r="B8" s="40">
        <v>10000000</v>
      </c>
      <c r="C8" s="41">
        <v>1.2</v>
      </c>
      <c r="D8" s="5">
        <f t="shared" ref="D8:D15" si="0">IF(D$6=0,0,IF(D$6&gt;=B8,((B8-B7)/1000)*C8,IF(D$6&gt;B7,((D$6-B7)/1000)*C8,0)))</f>
        <v>0</v>
      </c>
      <c r="E8" s="5">
        <f>IF(E$6=0,0,IF(E$6&gt;=B8,((B8-B7)/1000)*C8,IF(E$6&gt;B7,((E$6-B7)/1000)*C8,0)))</f>
        <v>0</v>
      </c>
    </row>
    <row r="9" spans="1:9" x14ac:dyDescent="0.2">
      <c r="A9" s="22" t="s">
        <v>22</v>
      </c>
      <c r="B9" s="40">
        <v>20000000</v>
      </c>
      <c r="C9" s="41">
        <v>0.68</v>
      </c>
      <c r="D9" s="5">
        <f t="shared" si="0"/>
        <v>0</v>
      </c>
      <c r="E9" s="5">
        <f t="shared" ref="E9:E15" si="1">IF(E$6=0,0,IF(E$6&gt;=B9,((B9-B8)/1000)*C9,IF(E$6&gt;B8,((E$6-B8)/1000)*C9,0)))</f>
        <v>0</v>
      </c>
    </row>
    <row r="10" spans="1:9" x14ac:dyDescent="0.2">
      <c r="A10" s="22" t="s">
        <v>22</v>
      </c>
      <c r="B10" s="40">
        <v>30000000</v>
      </c>
      <c r="C10" s="41">
        <v>0.6</v>
      </c>
      <c r="D10" s="5">
        <f t="shared" si="0"/>
        <v>0</v>
      </c>
      <c r="E10" s="5">
        <f t="shared" si="1"/>
        <v>0</v>
      </c>
    </row>
    <row r="11" spans="1:9" x14ac:dyDescent="0.2">
      <c r="A11" s="22" t="s">
        <v>22</v>
      </c>
      <c r="B11" s="40">
        <v>50000000</v>
      </c>
      <c r="C11" s="41">
        <v>0.45</v>
      </c>
      <c r="D11" s="5">
        <f t="shared" si="0"/>
        <v>0</v>
      </c>
      <c r="E11" s="5">
        <f t="shared" si="1"/>
        <v>0</v>
      </c>
    </row>
    <row r="12" spans="1:9" x14ac:dyDescent="0.2">
      <c r="A12" s="22" t="s">
        <v>22</v>
      </c>
      <c r="B12" s="40">
        <v>75000000</v>
      </c>
      <c r="C12" s="41">
        <v>0.41</v>
      </c>
      <c r="D12" s="5">
        <f t="shared" si="0"/>
        <v>0</v>
      </c>
      <c r="E12" s="5">
        <f t="shared" si="1"/>
        <v>0</v>
      </c>
    </row>
    <row r="13" spans="1:9" x14ac:dyDescent="0.2">
      <c r="A13" s="22" t="s">
        <v>22</v>
      </c>
      <c r="B13" s="40">
        <v>99999000</v>
      </c>
      <c r="C13" s="41">
        <v>0.32</v>
      </c>
      <c r="D13" s="5">
        <f t="shared" si="0"/>
        <v>0</v>
      </c>
      <c r="E13" s="5">
        <f t="shared" si="1"/>
        <v>0</v>
      </c>
    </row>
    <row r="14" spans="1:9" x14ac:dyDescent="0.2">
      <c r="A14" s="22" t="s">
        <v>22</v>
      </c>
      <c r="B14" s="40"/>
      <c r="C14" s="41"/>
      <c r="D14" s="5">
        <f t="shared" si="0"/>
        <v>0</v>
      </c>
      <c r="E14" s="5">
        <f t="shared" si="1"/>
        <v>0</v>
      </c>
    </row>
    <row r="15" spans="1:9" x14ac:dyDescent="0.2">
      <c r="A15" s="22" t="s">
        <v>22</v>
      </c>
      <c r="B15" s="40"/>
      <c r="C15" s="41"/>
      <c r="D15" s="5">
        <f t="shared" si="0"/>
        <v>0</v>
      </c>
      <c r="E15" s="5">
        <f t="shared" si="1"/>
        <v>0</v>
      </c>
    </row>
    <row r="16" spans="1:9" x14ac:dyDescent="0.2">
      <c r="A16" s="22" t="s">
        <v>57</v>
      </c>
      <c r="B16" s="40">
        <v>99999000</v>
      </c>
      <c r="C16" s="83">
        <v>0</v>
      </c>
      <c r="D16" s="5">
        <f>IF(D$6=0,0,IF(D$6&gt;=B16,((D$6-B16)/1000)*C16,0))</f>
        <v>0</v>
      </c>
      <c r="E16" s="5">
        <f>IF(E$6=0,0,IF(E$6&gt;=B16,((E$6-B16)/1000)*C16,0))</f>
        <v>0</v>
      </c>
    </row>
    <row r="17" spans="1:6" x14ac:dyDescent="0.2">
      <c r="A17" s="22" t="s">
        <v>58</v>
      </c>
      <c r="B17" s="84">
        <f>B16</f>
        <v>99999000</v>
      </c>
      <c r="C17" s="20">
        <v>0</v>
      </c>
      <c r="D17" s="5">
        <f>IF($C17=0,0,(D$6/1000)*$C17)</f>
        <v>0</v>
      </c>
      <c r="E17" s="5">
        <f>IF($C17=0,0,(E$6/1000)*$C17)</f>
        <v>0</v>
      </c>
    </row>
    <row r="18" spans="1:6" x14ac:dyDescent="0.2">
      <c r="A18" s="6" t="s">
        <v>5</v>
      </c>
      <c r="B18" s="6"/>
      <c r="C18" s="6"/>
      <c r="D18" s="37">
        <f>IF(D6&gt;=100000000,0,SUM(D7:D13))</f>
        <v>0</v>
      </c>
      <c r="E18" s="37">
        <f>IF(E6&gt;=100000000,0,SUM(E7:E13))</f>
        <v>0</v>
      </c>
    </row>
    <row r="19" spans="1:6" ht="13.5" thickBot="1" x14ac:dyDescent="0.25">
      <c r="B19" s="19" t="s">
        <v>21</v>
      </c>
      <c r="C19" s="41">
        <v>500</v>
      </c>
      <c r="D19" s="38">
        <f>IF(D6&gt;=100000000,0,IF(D18&lt;$C19,$C19,D18))</f>
        <v>500</v>
      </c>
      <c r="E19" s="38">
        <f>IF(D6&gt;=100000000,0,IF(E18&lt;$C19,$C19,E18))</f>
        <v>500</v>
      </c>
    </row>
    <row r="20" spans="1:6" ht="13.5" thickBot="1" x14ac:dyDescent="0.25">
      <c r="A20" s="101"/>
      <c r="B20" s="101"/>
      <c r="C20" s="85" t="s">
        <v>59</v>
      </c>
      <c r="D20" s="86">
        <f>IF(D$6=0,0,D19)</f>
        <v>0</v>
      </c>
      <c r="E20" s="86">
        <f>IF(E$6=0,0,E19)</f>
        <v>0</v>
      </c>
    </row>
    <row r="21" spans="1:6" x14ac:dyDescent="0.2">
      <c r="A21" s="102"/>
      <c r="B21" s="102"/>
      <c r="C21" s="41"/>
      <c r="D21" s="87"/>
      <c r="E21" s="87"/>
    </row>
    <row r="22" spans="1:6" ht="13.5" thickBot="1" x14ac:dyDescent="0.25">
      <c r="A22" s="103"/>
      <c r="B22" s="101"/>
      <c r="C22" s="41"/>
      <c r="D22" s="5"/>
      <c r="E22" s="5"/>
    </row>
    <row r="23" spans="1:6" ht="13.5" thickBot="1" x14ac:dyDescent="0.25">
      <c r="A23" s="88" t="s">
        <v>25</v>
      </c>
      <c r="B23" s="89"/>
      <c r="C23" s="90"/>
      <c r="D23" s="158">
        <v>150</v>
      </c>
      <c r="E23" s="159"/>
    </row>
    <row r="24" spans="1:6" ht="13.5" thickBot="1" x14ac:dyDescent="0.25">
      <c r="C24" s="20"/>
      <c r="D24" s="20"/>
      <c r="E24" s="20"/>
    </row>
    <row r="25" spans="1:6" ht="13.5" thickBot="1" x14ac:dyDescent="0.25">
      <c r="A25" s="153" t="s">
        <v>60</v>
      </c>
      <c r="B25" s="154"/>
      <c r="C25" s="155"/>
      <c r="D25" s="86">
        <f>D20</f>
        <v>0</v>
      </c>
      <c r="E25" s="86">
        <f>IF(E6=0,0,IF(E6&gt;D6,E20-D20+D23,D23))</f>
        <v>0</v>
      </c>
      <c r="F25" t="s">
        <v>65</v>
      </c>
    </row>
    <row r="26" spans="1:6" ht="13.5" thickBot="1" x14ac:dyDescent="0.25">
      <c r="A26" s="147" t="s">
        <v>61</v>
      </c>
      <c r="B26" s="148"/>
      <c r="C26" s="149"/>
      <c r="D26" s="109">
        <f>IF(D5&gt;=E5,D20,IF(D5=0,0,D23))</f>
        <v>0</v>
      </c>
      <c r="E26" s="109">
        <f>IF(E5&gt;D5,E20,IF(E5=0,0,D23))</f>
        <v>0</v>
      </c>
    </row>
    <row r="27" spans="1:6" x14ac:dyDescent="0.2">
      <c r="A27" s="91"/>
      <c r="B27" s="91"/>
      <c r="C27" s="91"/>
      <c r="D27" s="87"/>
      <c r="E27" s="87"/>
    </row>
    <row r="28" spans="1:6" x14ac:dyDescent="0.2">
      <c r="A28" s="92"/>
      <c r="B28" s="93"/>
      <c r="C28" s="94"/>
      <c r="D28" s="92"/>
      <c r="E28" s="92"/>
    </row>
    <row r="29" spans="1:6" x14ac:dyDescent="0.2">
      <c r="A29" s="91"/>
      <c r="B29" s="91"/>
      <c r="C29" s="91"/>
      <c r="D29" s="91"/>
      <c r="E29" s="91"/>
    </row>
    <row r="30" spans="1:6" x14ac:dyDescent="0.2">
      <c r="A30" s="92"/>
      <c r="B30" s="92"/>
      <c r="C30" s="92"/>
      <c r="D30" s="95"/>
      <c r="E30" s="95"/>
    </row>
    <row r="31" spans="1:6" x14ac:dyDescent="0.2">
      <c r="A31" s="96"/>
      <c r="B31" s="96"/>
      <c r="C31" s="96"/>
      <c r="D31" s="97"/>
      <c r="E31" s="97"/>
    </row>
    <row r="32" spans="1:6" x14ac:dyDescent="0.2">
      <c r="A32" s="96"/>
      <c r="B32" s="96"/>
      <c r="C32" s="92"/>
      <c r="D32" s="98"/>
      <c r="E32" s="98"/>
    </row>
    <row r="33" spans="1:5" x14ac:dyDescent="0.2">
      <c r="A33" s="92"/>
      <c r="B33" s="92"/>
      <c r="C33" s="92"/>
      <c r="D33" s="99"/>
      <c r="E33" s="99"/>
    </row>
    <row r="34" spans="1:5" x14ac:dyDescent="0.2">
      <c r="A34" s="96"/>
      <c r="B34" s="96"/>
      <c r="C34" s="92"/>
      <c r="D34" s="99"/>
      <c r="E34" s="99"/>
    </row>
    <row r="35" spans="1:5" x14ac:dyDescent="0.2">
      <c r="A35" s="92"/>
      <c r="B35" s="92"/>
      <c r="C35" s="92"/>
      <c r="D35" s="92"/>
      <c r="E35" s="92"/>
    </row>
    <row r="53" hidden="1" x14ac:dyDescent="0.2"/>
  </sheetData>
  <sheetProtection selectLockedCells="1"/>
  <mergeCells count="7">
    <mergeCell ref="A26:C26"/>
    <mergeCell ref="A1:E1"/>
    <mergeCell ref="A2:D2"/>
    <mergeCell ref="A3:E3"/>
    <mergeCell ref="A4:C4"/>
    <mergeCell ref="D23:E23"/>
    <mergeCell ref="A25:C25"/>
  </mergeCells>
  <printOptions horizontalCentered="1"/>
  <pageMargins left="0.5" right="0.5" top="0.75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Residential</vt:lpstr>
      <vt:lpstr>Commercial</vt:lpstr>
      <vt:lpstr>R-Rates</vt:lpstr>
      <vt:lpstr>R-Tables</vt:lpstr>
      <vt:lpstr>C-Tables</vt:lpstr>
      <vt:lpstr>CTransactions</vt:lpstr>
      <vt:lpstr>Owners</vt:lpstr>
      <vt:lpstr>Commercial!Print_Area</vt:lpstr>
      <vt:lpstr>Residential!Print_Area</vt:lpstr>
      <vt:lpstr>'R-Rates'!Print_Area</vt:lpstr>
      <vt:lpstr>Transactions</vt:lpstr>
    </vt:vector>
  </TitlesOfParts>
  <Company>STG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Rhee McCallum</dc:creator>
  <cp:lastModifiedBy>Darden, Steve</cp:lastModifiedBy>
  <cp:lastPrinted>2017-09-08T20:42:04Z</cp:lastPrinted>
  <dcterms:created xsi:type="dcterms:W3CDTF">2012-08-03T19:22:13Z</dcterms:created>
  <dcterms:modified xsi:type="dcterms:W3CDTF">2017-10-09T18:43:10Z</dcterms:modified>
</cp:coreProperties>
</file>